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connect-my.sharepoint.com/personal/kmesserli_mnhomecare_org/Documents/Kathy folders/Financial/Finance Committee/2024 Meetings/"/>
    </mc:Choice>
  </mc:AlternateContent>
  <xr:revisionPtr revIDLastSave="0" documentId="8_{16BB3E37-6D2B-4523-B1B5-129D12B8CEBC}" xr6:coauthVersionLast="47" xr6:coauthVersionMax="47" xr10:uidLastSave="{00000000-0000-0000-0000-000000000000}"/>
  <bookViews>
    <workbookView xWindow="-110" yWindow="-110" windowWidth="19420" windowHeight="11620" tabRatio="929" xr2:uid="{2E096974-5D6B-41CA-8247-518C96EB5514}"/>
  </bookViews>
  <sheets>
    <sheet name="Budget vs. Actuals Totals" sheetId="2" r:id="rId1"/>
    <sheet name="Balance Sheet" sheetId="3" r:id="rId2"/>
    <sheet name="Profit and Loss by Month" sheetId="10" state="hidden" r:id="rId3"/>
    <sheet name="Full Year Budget" sheetId="14" r:id="rId4"/>
  </sheets>
  <externalReferences>
    <externalReference r:id="rId5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2" i="3" l="1"/>
  <c r="C92" i="3"/>
  <c r="D91" i="3"/>
  <c r="C91" i="3"/>
  <c r="D90" i="3"/>
  <c r="D93" i="3" s="1"/>
  <c r="C90" i="3"/>
  <c r="C93" i="3" s="1"/>
  <c r="D87" i="3"/>
  <c r="C87" i="3"/>
  <c r="D86" i="3"/>
  <c r="C86" i="3"/>
  <c r="D82" i="3"/>
  <c r="C82" i="3"/>
  <c r="D81" i="3"/>
  <c r="C81" i="3"/>
  <c r="D80" i="3"/>
  <c r="C80" i="3"/>
  <c r="D79" i="3"/>
  <c r="C79" i="3"/>
  <c r="D78" i="3"/>
  <c r="C78" i="3"/>
  <c r="D77" i="3"/>
  <c r="C77" i="3"/>
  <c r="D76" i="3"/>
  <c r="C76" i="3"/>
  <c r="D74" i="3"/>
  <c r="C74" i="3"/>
  <c r="D73" i="3"/>
  <c r="C73" i="3"/>
  <c r="D72" i="3"/>
  <c r="C72" i="3"/>
  <c r="D71" i="3"/>
  <c r="C71" i="3"/>
  <c r="D70" i="3"/>
  <c r="C70" i="3"/>
  <c r="D69" i="3"/>
  <c r="C69" i="3"/>
  <c r="D68" i="3"/>
  <c r="C68" i="3"/>
  <c r="D67" i="3"/>
  <c r="D75" i="3" s="1"/>
  <c r="C67" i="3"/>
  <c r="D66" i="3"/>
  <c r="C66" i="3"/>
  <c r="C75" i="3" s="1"/>
  <c r="C65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52" i="3"/>
  <c r="D64" i="3" s="1"/>
  <c r="C52" i="3"/>
  <c r="D51" i="3"/>
  <c r="C51" i="3"/>
  <c r="C64" i="3" s="1"/>
  <c r="D50" i="3"/>
  <c r="C50" i="3"/>
  <c r="D49" i="3"/>
  <c r="C49" i="3"/>
  <c r="D48" i="3"/>
  <c r="C48" i="3"/>
  <c r="C47" i="3"/>
  <c r="D45" i="3"/>
  <c r="D44" i="3"/>
  <c r="C44" i="3"/>
  <c r="C45" i="3" s="1"/>
  <c r="C42" i="3"/>
  <c r="D41" i="3"/>
  <c r="D42" i="3" s="1"/>
  <c r="C41" i="3"/>
  <c r="D34" i="3"/>
  <c r="C34" i="3"/>
  <c r="C35" i="3" s="1"/>
  <c r="D33" i="3"/>
  <c r="D35" i="3" s="1"/>
  <c r="C33" i="3"/>
  <c r="C29" i="3"/>
  <c r="D28" i="3"/>
  <c r="C28" i="3"/>
  <c r="D27" i="3"/>
  <c r="C27" i="3"/>
  <c r="D25" i="3"/>
  <c r="C25" i="3"/>
  <c r="D24" i="3"/>
  <c r="C24" i="3"/>
  <c r="D23" i="3"/>
  <c r="C23" i="3"/>
  <c r="D22" i="3"/>
  <c r="C22" i="3"/>
  <c r="C26" i="3" s="1"/>
  <c r="C30" i="3" s="1"/>
  <c r="D21" i="3"/>
  <c r="D26" i="3" s="1"/>
  <c r="D30" i="3" s="1"/>
  <c r="C21" i="3"/>
  <c r="D18" i="3"/>
  <c r="D17" i="3"/>
  <c r="C17" i="3"/>
  <c r="C18" i="3" s="1"/>
  <c r="D16" i="3"/>
  <c r="C16" i="3"/>
  <c r="D15" i="3"/>
  <c r="C15" i="3"/>
  <c r="D13" i="3"/>
  <c r="D31" i="3" s="1"/>
  <c r="D36" i="3" s="1"/>
  <c r="C13" i="3"/>
  <c r="D12" i="3"/>
  <c r="C12" i="3"/>
  <c r="D11" i="3"/>
  <c r="C11" i="3"/>
  <c r="D10" i="3"/>
  <c r="C10" i="3"/>
  <c r="A79" i="2"/>
  <c r="C31" i="3" l="1"/>
  <c r="C36" i="3" s="1"/>
  <c r="C83" i="3"/>
  <c r="C84" i="3" s="1"/>
  <c r="C88" i="3" s="1"/>
  <c r="C94" i="3" s="1"/>
  <c r="D83" i="3"/>
  <c r="D84" i="3" s="1"/>
  <c r="D88" i="3" s="1"/>
  <c r="D94" i="3" s="1"/>
  <c r="A8" i="3" l="1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7" i="3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7" i="2"/>
  <c r="E94" i="14"/>
  <c r="D94" i="14"/>
  <c r="C94" i="14"/>
  <c r="V93" i="14"/>
  <c r="U93" i="14"/>
  <c r="T93" i="14"/>
  <c r="S93" i="14"/>
  <c r="R93" i="14"/>
  <c r="Q93" i="14"/>
  <c r="P93" i="14"/>
  <c r="O93" i="14"/>
  <c r="N93" i="14"/>
  <c r="M93" i="14"/>
  <c r="L93" i="14"/>
  <c r="K93" i="14"/>
  <c r="F93" i="14"/>
  <c r="V92" i="14"/>
  <c r="V94" i="14" s="1"/>
  <c r="U92" i="14"/>
  <c r="T92" i="14"/>
  <c r="T94" i="14" s="1"/>
  <c r="S92" i="14"/>
  <c r="R92" i="14"/>
  <c r="Q92" i="14"/>
  <c r="P92" i="14"/>
  <c r="O92" i="14"/>
  <c r="N92" i="14"/>
  <c r="N94" i="14" s="1"/>
  <c r="M92" i="14"/>
  <c r="L92" i="14"/>
  <c r="L94" i="14" s="1"/>
  <c r="K92" i="14"/>
  <c r="F92" i="14"/>
  <c r="Y91" i="14"/>
  <c r="E90" i="14"/>
  <c r="D90" i="14"/>
  <c r="C90" i="14"/>
  <c r="C95" i="14" s="1"/>
  <c r="V89" i="14"/>
  <c r="U89" i="14"/>
  <c r="T89" i="14"/>
  <c r="S89" i="14"/>
  <c r="R89" i="14"/>
  <c r="Q89" i="14"/>
  <c r="P89" i="14"/>
  <c r="O89" i="14"/>
  <c r="N89" i="14"/>
  <c r="M89" i="14"/>
  <c r="L89" i="14"/>
  <c r="K89" i="14"/>
  <c r="F89" i="14"/>
  <c r="V88" i="14"/>
  <c r="U88" i="14"/>
  <c r="T88" i="14"/>
  <c r="S88" i="14"/>
  <c r="R88" i="14"/>
  <c r="Q88" i="14"/>
  <c r="P88" i="14"/>
  <c r="O88" i="14"/>
  <c r="N88" i="14"/>
  <c r="M88" i="14"/>
  <c r="L88" i="14"/>
  <c r="K88" i="14"/>
  <c r="F88" i="14"/>
  <c r="V87" i="14"/>
  <c r="U87" i="14"/>
  <c r="T87" i="14"/>
  <c r="S87" i="14"/>
  <c r="R87" i="14"/>
  <c r="Q87" i="14"/>
  <c r="P87" i="14"/>
  <c r="O87" i="14"/>
  <c r="N87" i="14"/>
  <c r="M87" i="14"/>
  <c r="L87" i="14"/>
  <c r="K87" i="14"/>
  <c r="F87" i="14"/>
  <c r="V86" i="14"/>
  <c r="U86" i="14"/>
  <c r="T86" i="14"/>
  <c r="S86" i="14"/>
  <c r="R86" i="14"/>
  <c r="Q86" i="14"/>
  <c r="P86" i="14"/>
  <c r="O86" i="14"/>
  <c r="N86" i="14"/>
  <c r="M86" i="14"/>
  <c r="L86" i="14"/>
  <c r="K86" i="14"/>
  <c r="F86" i="14"/>
  <c r="V85" i="14"/>
  <c r="U85" i="14"/>
  <c r="T85" i="14"/>
  <c r="S85" i="14"/>
  <c r="R85" i="14"/>
  <c r="Q85" i="14"/>
  <c r="P85" i="14"/>
  <c r="O85" i="14"/>
  <c r="N85" i="14"/>
  <c r="M85" i="14"/>
  <c r="L85" i="14"/>
  <c r="K85" i="14"/>
  <c r="F85" i="14"/>
  <c r="Y84" i="14"/>
  <c r="E81" i="14"/>
  <c r="D81" i="14"/>
  <c r="C81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F80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F79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F78" i="14"/>
  <c r="F77" i="14"/>
  <c r="E76" i="14"/>
  <c r="D76" i="14"/>
  <c r="C76" i="14"/>
  <c r="V75" i="14"/>
  <c r="U75" i="14"/>
  <c r="T75" i="14"/>
  <c r="S75" i="14"/>
  <c r="R75" i="14"/>
  <c r="Q75" i="14"/>
  <c r="P75" i="14"/>
  <c r="O75" i="14"/>
  <c r="N75" i="14"/>
  <c r="M75" i="14"/>
  <c r="L75" i="14"/>
  <c r="K75" i="14"/>
  <c r="F75" i="14"/>
  <c r="V74" i="14"/>
  <c r="U74" i="14"/>
  <c r="T74" i="14"/>
  <c r="S74" i="14"/>
  <c r="R74" i="14"/>
  <c r="Q74" i="14"/>
  <c r="P74" i="14"/>
  <c r="O74" i="14"/>
  <c r="N74" i="14"/>
  <c r="M74" i="14"/>
  <c r="L74" i="14"/>
  <c r="K74" i="14"/>
  <c r="F74" i="14"/>
  <c r="V73" i="14"/>
  <c r="U73" i="14"/>
  <c r="T73" i="14"/>
  <c r="S73" i="14"/>
  <c r="R73" i="14"/>
  <c r="Q73" i="14"/>
  <c r="P73" i="14"/>
  <c r="O73" i="14"/>
  <c r="N73" i="14"/>
  <c r="M73" i="14"/>
  <c r="L73" i="14"/>
  <c r="K73" i="14"/>
  <c r="F73" i="14"/>
  <c r="V72" i="14"/>
  <c r="U72" i="14"/>
  <c r="T72" i="14"/>
  <c r="S72" i="14"/>
  <c r="R72" i="14"/>
  <c r="Q72" i="14"/>
  <c r="P72" i="14"/>
  <c r="O72" i="14"/>
  <c r="N72" i="14"/>
  <c r="M72" i="14"/>
  <c r="L72" i="14"/>
  <c r="K72" i="14"/>
  <c r="F72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F71" i="14"/>
  <c r="F70" i="14"/>
  <c r="E69" i="14"/>
  <c r="D69" i="14"/>
  <c r="C69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F68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F67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F66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F65" i="14"/>
  <c r="F64" i="14"/>
  <c r="E63" i="14"/>
  <c r="D63" i="14"/>
  <c r="C63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F62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F61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F60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F59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F58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F57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F56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F55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F54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F53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F52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F51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F50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F49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F48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F47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F46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F45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F44" i="14"/>
  <c r="Y43" i="14"/>
  <c r="F43" i="14"/>
  <c r="E42" i="14"/>
  <c r="D42" i="14"/>
  <c r="D82" i="14" s="1"/>
  <c r="C42" i="14"/>
  <c r="C82" i="14" s="1"/>
  <c r="V41" i="14"/>
  <c r="U41" i="14"/>
  <c r="T41" i="14"/>
  <c r="S41" i="14"/>
  <c r="R41" i="14"/>
  <c r="Q41" i="14"/>
  <c r="P41" i="14"/>
  <c r="O41" i="14"/>
  <c r="N41" i="14"/>
  <c r="M41" i="14"/>
  <c r="L41" i="14"/>
  <c r="K41" i="14"/>
  <c r="F41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F40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F39" i="14"/>
  <c r="F42" i="14" s="1"/>
  <c r="Y38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F35" i="14"/>
  <c r="H35" i="14" s="1"/>
  <c r="E34" i="14"/>
  <c r="D34" i="14"/>
  <c r="C34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F33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F32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F31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F30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F29" i="14"/>
  <c r="W28" i="14"/>
  <c r="F28" i="14"/>
  <c r="E26" i="14"/>
  <c r="D26" i="14"/>
  <c r="C26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F25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F24" i="14"/>
  <c r="K23" i="14"/>
  <c r="F23" i="14"/>
  <c r="E22" i="14"/>
  <c r="E27" i="14" s="1"/>
  <c r="D22" i="14"/>
  <c r="C22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F21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F20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F19" i="14"/>
  <c r="F18" i="14"/>
  <c r="Y18" i="14" s="1"/>
  <c r="E17" i="14"/>
  <c r="D17" i="14"/>
  <c r="C17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F16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F15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F14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F13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F12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F11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F10" i="14"/>
  <c r="V9" i="14"/>
  <c r="U9" i="14"/>
  <c r="T9" i="14"/>
  <c r="S9" i="14"/>
  <c r="R9" i="14"/>
  <c r="Q9" i="14"/>
  <c r="P9" i="14"/>
  <c r="O9" i="14"/>
  <c r="N9" i="14"/>
  <c r="M9" i="14"/>
  <c r="L9" i="14"/>
  <c r="K9" i="14"/>
  <c r="F9" i="14"/>
  <c r="V8" i="14"/>
  <c r="U8" i="14"/>
  <c r="T8" i="14"/>
  <c r="S8" i="14"/>
  <c r="R8" i="14"/>
  <c r="Q8" i="14"/>
  <c r="P8" i="14"/>
  <c r="O8" i="14"/>
  <c r="N8" i="14"/>
  <c r="M8" i="14"/>
  <c r="L8" i="14"/>
  <c r="K8" i="14"/>
  <c r="F8" i="14"/>
  <c r="F7" i="14"/>
  <c r="K94" i="14" l="1"/>
  <c r="S94" i="14"/>
  <c r="O22" i="14"/>
  <c r="R42" i="14"/>
  <c r="N22" i="14"/>
  <c r="V22" i="14"/>
  <c r="M63" i="14"/>
  <c r="U63" i="14"/>
  <c r="R69" i="14"/>
  <c r="M94" i="14"/>
  <c r="U94" i="14"/>
  <c r="O81" i="14"/>
  <c r="O94" i="14"/>
  <c r="L69" i="14"/>
  <c r="T69" i="14"/>
  <c r="L76" i="14"/>
  <c r="T76" i="14"/>
  <c r="D95" i="14"/>
  <c r="R17" i="14"/>
  <c r="W9" i="14"/>
  <c r="Y9" i="14" s="1"/>
  <c r="C27" i="14"/>
  <c r="C36" i="14" s="1"/>
  <c r="C37" i="14" s="1"/>
  <c r="C83" i="14" s="1"/>
  <c r="C96" i="14" s="1"/>
  <c r="L42" i="14"/>
  <c r="T42" i="14"/>
  <c r="P81" i="14"/>
  <c r="P94" i="14"/>
  <c r="K90" i="14"/>
  <c r="Q17" i="14"/>
  <c r="K17" i="14"/>
  <c r="N69" i="14"/>
  <c r="V69" i="14"/>
  <c r="F81" i="14"/>
  <c r="H81" i="14" s="1"/>
  <c r="S90" i="14"/>
  <c r="Y28" i="14"/>
  <c r="P34" i="14"/>
  <c r="S34" i="14"/>
  <c r="N42" i="14"/>
  <c r="V42" i="14"/>
  <c r="R81" i="14"/>
  <c r="F26" i="14"/>
  <c r="P76" i="14"/>
  <c r="W72" i="14"/>
  <c r="Y72" i="14" s="1"/>
  <c r="W14" i="14"/>
  <c r="Y14" i="14" s="1"/>
  <c r="R34" i="14"/>
  <c r="M34" i="14"/>
  <c r="U34" i="14"/>
  <c r="P42" i="14"/>
  <c r="F76" i="14"/>
  <c r="L81" i="14"/>
  <c r="T81" i="14"/>
  <c r="W93" i="14"/>
  <c r="Y93" i="14" s="1"/>
  <c r="Q22" i="14"/>
  <c r="W21" i="14"/>
  <c r="Y21" i="14" s="1"/>
  <c r="Q34" i="14"/>
  <c r="O42" i="14"/>
  <c r="W51" i="14"/>
  <c r="W65" i="14"/>
  <c r="S69" i="14"/>
  <c r="Y70" i="14"/>
  <c r="Q76" i="14"/>
  <c r="Y77" i="14"/>
  <c r="Q81" i="14"/>
  <c r="F90" i="14"/>
  <c r="R90" i="14"/>
  <c r="P90" i="14"/>
  <c r="P22" i="14"/>
  <c r="W40" i="14"/>
  <c r="Y40" i="14" s="1"/>
  <c r="Q90" i="14"/>
  <c r="M17" i="14"/>
  <c r="U17" i="14"/>
  <c r="W10" i="14"/>
  <c r="Y10" i="14" s="1"/>
  <c r="W13" i="14"/>
  <c r="S17" i="14"/>
  <c r="W16" i="14"/>
  <c r="Y16" i="14" s="1"/>
  <c r="W24" i="14"/>
  <c r="Y24" i="14" s="1"/>
  <c r="N34" i="14"/>
  <c r="V34" i="14"/>
  <c r="P63" i="14"/>
  <c r="S76" i="14"/>
  <c r="W75" i="14"/>
  <c r="Y75" i="14" s="1"/>
  <c r="S81" i="14"/>
  <c r="E82" i="14"/>
  <c r="L90" i="14"/>
  <c r="L95" i="14" s="1"/>
  <c r="T90" i="14"/>
  <c r="T95" i="14" s="1"/>
  <c r="W86" i="14"/>
  <c r="Y86" i="14" s="1"/>
  <c r="S95" i="14"/>
  <c r="F22" i="14"/>
  <c r="F27" i="14" s="1"/>
  <c r="R22" i="14"/>
  <c r="L34" i="14"/>
  <c r="T34" i="14"/>
  <c r="W32" i="14"/>
  <c r="Y32" i="14" s="1"/>
  <c r="Q63" i="14"/>
  <c r="W46" i="14"/>
  <c r="Y46" i="14" s="1"/>
  <c r="W50" i="14"/>
  <c r="Y50" i="14" s="1"/>
  <c r="W54" i="14"/>
  <c r="Y54" i="14" s="1"/>
  <c r="W58" i="14"/>
  <c r="W61" i="14"/>
  <c r="Y61" i="14" s="1"/>
  <c r="W62" i="14"/>
  <c r="Y62" i="14" s="1"/>
  <c r="W67" i="14"/>
  <c r="Y67" i="14" s="1"/>
  <c r="W68" i="14"/>
  <c r="Y68" i="14" s="1"/>
  <c r="M90" i="14"/>
  <c r="M95" i="14" s="1"/>
  <c r="U90" i="14"/>
  <c r="W87" i="14"/>
  <c r="Y87" i="14" s="1"/>
  <c r="E95" i="14"/>
  <c r="Y13" i="14"/>
  <c r="O17" i="14"/>
  <c r="W11" i="14"/>
  <c r="Y11" i="14" s="1"/>
  <c r="F17" i="14"/>
  <c r="W15" i="14"/>
  <c r="Y15" i="14" s="1"/>
  <c r="W19" i="14"/>
  <c r="Y19" i="14" s="1"/>
  <c r="K42" i="14"/>
  <c r="S42" i="14"/>
  <c r="W47" i="14"/>
  <c r="Y47" i="14" s="1"/>
  <c r="W55" i="14"/>
  <c r="Y55" i="14" s="1"/>
  <c r="N90" i="14"/>
  <c r="N95" i="14" s="1"/>
  <c r="V90" i="14"/>
  <c r="V95" i="14" s="1"/>
  <c r="W88" i="14"/>
  <c r="Y88" i="14" s="1"/>
  <c r="Q94" i="14"/>
  <c r="K95" i="14"/>
  <c r="E36" i="14"/>
  <c r="E37" i="14" s="1"/>
  <c r="E83" i="14" s="1"/>
  <c r="E96" i="14" s="1"/>
  <c r="W48" i="14"/>
  <c r="W52" i="14"/>
  <c r="Y52" i="14" s="1"/>
  <c r="W56" i="14"/>
  <c r="Y56" i="14" s="1"/>
  <c r="P69" i="14"/>
  <c r="W66" i="14"/>
  <c r="N81" i="14"/>
  <c r="V81" i="14"/>
  <c r="O90" i="14"/>
  <c r="W89" i="14"/>
  <c r="Y89" i="14" s="1"/>
  <c r="F94" i="14"/>
  <c r="F95" i="14" s="1"/>
  <c r="R94" i="14"/>
  <c r="M22" i="14"/>
  <c r="U22" i="14"/>
  <c r="O34" i="14"/>
  <c r="W35" i="14"/>
  <c r="Y35" i="14" s="1"/>
  <c r="M42" i="14"/>
  <c r="U42" i="14"/>
  <c r="W57" i="14"/>
  <c r="Y57" i="14" s="1"/>
  <c r="F69" i="14"/>
  <c r="H69" i="14" s="1"/>
  <c r="Q69" i="14"/>
  <c r="O76" i="14"/>
  <c r="R76" i="14"/>
  <c r="W92" i="14"/>
  <c r="Y92" i="14" s="1"/>
  <c r="H22" i="14"/>
  <c r="H17" i="14"/>
  <c r="H26" i="14"/>
  <c r="L22" i="14"/>
  <c r="T22" i="14"/>
  <c r="W30" i="14"/>
  <c r="Y30" i="14" s="1"/>
  <c r="K34" i="14"/>
  <c r="W33" i="14"/>
  <c r="Y33" i="14" s="1"/>
  <c r="W44" i="14"/>
  <c r="S63" i="14"/>
  <c r="W53" i="14"/>
  <c r="Y53" i="14" s="1"/>
  <c r="W73" i="14"/>
  <c r="Y73" i="14" s="1"/>
  <c r="W39" i="14"/>
  <c r="N17" i="14"/>
  <c r="V17" i="14"/>
  <c r="W25" i="14"/>
  <c r="Y25" i="14" s="1"/>
  <c r="L63" i="14"/>
  <c r="T63" i="14"/>
  <c r="T82" i="14" s="1"/>
  <c r="Y58" i="14"/>
  <c r="Y65" i="14"/>
  <c r="N76" i="14"/>
  <c r="V76" i="14"/>
  <c r="M81" i="14"/>
  <c r="U81" i="14"/>
  <c r="W80" i="14"/>
  <c r="Y80" i="14" s="1"/>
  <c r="W29" i="14"/>
  <c r="W49" i="14"/>
  <c r="H76" i="14"/>
  <c r="Q42" i="14"/>
  <c r="O63" i="14"/>
  <c r="Y51" i="14"/>
  <c r="W60" i="14"/>
  <c r="Y60" i="14" s="1"/>
  <c r="M69" i="14"/>
  <c r="U69" i="14"/>
  <c r="W79" i="14"/>
  <c r="Y79" i="14" s="1"/>
  <c r="Y49" i="14"/>
  <c r="P17" i="14"/>
  <c r="V63" i="14"/>
  <c r="W12" i="14"/>
  <c r="Y12" i="14" s="1"/>
  <c r="W20" i="14"/>
  <c r="Y20" i="14" s="1"/>
  <c r="H42" i="14"/>
  <c r="F63" i="14"/>
  <c r="F82" i="14" s="1"/>
  <c r="Y48" i="14"/>
  <c r="M76" i="14"/>
  <c r="U76" i="14"/>
  <c r="N63" i="14"/>
  <c r="W31" i="14"/>
  <c r="Y31" i="14" s="1"/>
  <c r="W41" i="14"/>
  <c r="Y41" i="14" s="1"/>
  <c r="W45" i="14"/>
  <c r="Y45" i="14" s="1"/>
  <c r="O69" i="14"/>
  <c r="Y66" i="14"/>
  <c r="W71" i="14"/>
  <c r="K76" i="14"/>
  <c r="W74" i="14"/>
  <c r="Y74" i="14" s="1"/>
  <c r="L17" i="14"/>
  <c r="W8" i="14"/>
  <c r="Y8" i="14" s="1"/>
  <c r="T17" i="14"/>
  <c r="S22" i="14"/>
  <c r="D27" i="14"/>
  <c r="D36" i="14" s="1"/>
  <c r="D37" i="14" s="1"/>
  <c r="D83" i="14" s="1"/>
  <c r="D96" i="14" s="1"/>
  <c r="R63" i="14"/>
  <c r="W59" i="14"/>
  <c r="Y59" i="14" s="1"/>
  <c r="W78" i="14"/>
  <c r="K81" i="14"/>
  <c r="K63" i="14"/>
  <c r="K69" i="14"/>
  <c r="K22" i="14"/>
  <c r="L23" i="14"/>
  <c r="M23" i="14" s="1"/>
  <c r="N23" i="14" s="1"/>
  <c r="K26" i="14"/>
  <c r="W85" i="14"/>
  <c r="Y85" i="14" s="1"/>
  <c r="F34" i="14"/>
  <c r="Y64" i="14"/>
  <c r="P95" i="14" l="1"/>
  <c r="U95" i="14"/>
  <c r="N82" i="14"/>
  <c r="S82" i="14"/>
  <c r="P82" i="14"/>
  <c r="L82" i="14"/>
  <c r="R82" i="14"/>
  <c r="M82" i="14"/>
  <c r="O95" i="14"/>
  <c r="W34" i="14"/>
  <c r="W94" i="14"/>
  <c r="Y94" i="14" s="1"/>
  <c r="W81" i="14"/>
  <c r="Y81" i="14" s="1"/>
  <c r="W69" i="14"/>
  <c r="Y69" i="14" s="1"/>
  <c r="K82" i="14"/>
  <c r="U82" i="14"/>
  <c r="O82" i="14"/>
  <c r="F36" i="14"/>
  <c r="F37" i="14" s="1"/>
  <c r="Q95" i="14"/>
  <c r="Q82" i="14"/>
  <c r="W76" i="14"/>
  <c r="Y76" i="14" s="1"/>
  <c r="W63" i="14"/>
  <c r="Y63" i="14" s="1"/>
  <c r="R95" i="14"/>
  <c r="W90" i="14"/>
  <c r="Y90" i="14" s="1"/>
  <c r="V82" i="14"/>
  <c r="N26" i="14"/>
  <c r="N27" i="14" s="1"/>
  <c r="N36" i="14" s="1"/>
  <c r="N37" i="14" s="1"/>
  <c r="N83" i="14" s="1"/>
  <c r="N96" i="14" s="1"/>
  <c r="O23" i="14"/>
  <c r="L26" i="14"/>
  <c r="L27" i="14" s="1"/>
  <c r="L36" i="14" s="1"/>
  <c r="L37" i="14" s="1"/>
  <c r="Y29" i="14"/>
  <c r="M26" i="14"/>
  <c r="M27" i="14" s="1"/>
  <c r="M36" i="14" s="1"/>
  <c r="M37" i="14" s="1"/>
  <c r="P23" i="14"/>
  <c r="K27" i="14"/>
  <c r="K36" i="14" s="1"/>
  <c r="K37" i="14" s="1"/>
  <c r="Y71" i="14"/>
  <c r="H34" i="14"/>
  <c r="Y34" i="14"/>
  <c r="Y78" i="14"/>
  <c r="W22" i="14"/>
  <c r="H27" i="14"/>
  <c r="Y44" i="14"/>
  <c r="W17" i="14"/>
  <c r="Y39" i="14"/>
  <c r="W42" i="14"/>
  <c r="K83" i="14" l="1"/>
  <c r="K96" i="14" s="1"/>
  <c r="M83" i="14"/>
  <c r="M96" i="14" s="1"/>
  <c r="L83" i="14"/>
  <c r="L96" i="14" s="1"/>
  <c r="H36" i="14"/>
  <c r="W95" i="14"/>
  <c r="Y95" i="14" s="1"/>
  <c r="O26" i="14"/>
  <c r="O27" i="14" s="1"/>
  <c r="O36" i="14" s="1"/>
  <c r="O37" i="14" s="1"/>
  <c r="O83" i="14" s="1"/>
  <c r="O96" i="14" s="1"/>
  <c r="Q23" i="14"/>
  <c r="P26" i="14"/>
  <c r="P27" i="14" s="1"/>
  <c r="P36" i="14" s="1"/>
  <c r="P37" i="14" s="1"/>
  <c r="P83" i="14" s="1"/>
  <c r="P96" i="14" s="1"/>
  <c r="Y17" i="14"/>
  <c r="W82" i="14"/>
  <c r="Y82" i="14" s="1"/>
  <c r="Y42" i="14"/>
  <c r="Y22" i="14"/>
  <c r="F83" i="14"/>
  <c r="H37" i="14"/>
  <c r="F96" i="14" l="1"/>
  <c r="Q26" i="14"/>
  <c r="Q27" i="14" s="1"/>
  <c r="Q36" i="14" s="1"/>
  <c r="Q37" i="14" s="1"/>
  <c r="Q83" i="14" s="1"/>
  <c r="Q96" i="14" s="1"/>
  <c r="R23" i="14"/>
  <c r="R26" i="14" l="1"/>
  <c r="R27" i="14" s="1"/>
  <c r="R36" i="14" s="1"/>
  <c r="R37" i="14" s="1"/>
  <c r="R83" i="14" s="1"/>
  <c r="R96" i="14" s="1"/>
  <c r="S23" i="14"/>
  <c r="S26" i="14" l="1"/>
  <c r="S27" i="14" s="1"/>
  <c r="S36" i="14" s="1"/>
  <c r="S37" i="14" s="1"/>
  <c r="S83" i="14" s="1"/>
  <c r="S96" i="14" s="1"/>
  <c r="T23" i="14"/>
  <c r="U23" i="14"/>
  <c r="U26" i="14" s="1"/>
  <c r="U27" i="14" s="1"/>
  <c r="U36" i="14" s="1"/>
  <c r="U37" i="14" s="1"/>
  <c r="U83" i="14" s="1"/>
  <c r="U96" i="14" s="1"/>
  <c r="V23" i="14" l="1"/>
  <c r="V26" i="14" s="1"/>
  <c r="V27" i="14" s="1"/>
  <c r="V36" i="14" s="1"/>
  <c r="V37" i="14" s="1"/>
  <c r="V83" i="14" s="1"/>
  <c r="V96" i="14" s="1"/>
  <c r="W23" i="14"/>
  <c r="T26" i="14"/>
  <c r="T27" i="14" s="1"/>
  <c r="T36" i="14" s="1"/>
  <c r="T37" i="14" s="1"/>
  <c r="T83" i="14" s="1"/>
  <c r="T96" i="14" s="1"/>
  <c r="W26" i="14" l="1"/>
  <c r="Y23" i="14"/>
  <c r="Y26" i="14" l="1"/>
  <c r="W27" i="14"/>
  <c r="Y27" i="14" l="1"/>
  <c r="W36" i="14"/>
  <c r="W37" i="14" l="1"/>
  <c r="Y36" i="14"/>
  <c r="W83" i="14" l="1"/>
  <c r="Y37" i="14"/>
  <c r="W96" i="14" l="1"/>
  <c r="Y96" i="14" s="1"/>
  <c r="Y83" i="14"/>
  <c r="B97" i="10" l="1"/>
  <c r="B96" i="10"/>
  <c r="H95" i="10"/>
  <c r="H96" i="10" s="1"/>
  <c r="H97" i="10" s="1"/>
  <c r="F95" i="10"/>
  <c r="F96" i="10" s="1"/>
  <c r="F97" i="10" s="1"/>
  <c r="E95" i="10"/>
  <c r="E96" i="10" s="1"/>
  <c r="E97" i="10" s="1"/>
  <c r="D95" i="10"/>
  <c r="D96" i="10" s="1"/>
  <c r="D97" i="10" s="1"/>
  <c r="C95" i="10"/>
  <c r="C96" i="10" s="1"/>
  <c r="C97" i="10" s="1"/>
  <c r="B95" i="10"/>
  <c r="G94" i="10"/>
  <c r="I94" i="10" s="1"/>
  <c r="I93" i="10"/>
  <c r="E89" i="10"/>
  <c r="B89" i="10"/>
  <c r="I88" i="10"/>
  <c r="F88" i="10"/>
  <c r="H87" i="10"/>
  <c r="G87" i="10"/>
  <c r="F87" i="10"/>
  <c r="E87" i="10"/>
  <c r="D87" i="10"/>
  <c r="D89" i="10" s="1"/>
  <c r="C87" i="10"/>
  <c r="I87" i="10" s="1"/>
  <c r="B87" i="10"/>
  <c r="H86" i="10"/>
  <c r="H89" i="10" s="1"/>
  <c r="G86" i="10"/>
  <c r="G89" i="10" s="1"/>
  <c r="F86" i="10"/>
  <c r="F89" i="10" s="1"/>
  <c r="C86" i="10"/>
  <c r="C89" i="10" s="1"/>
  <c r="I85" i="10"/>
  <c r="H83" i="10"/>
  <c r="G83" i="10"/>
  <c r="F83" i="10"/>
  <c r="E83" i="10"/>
  <c r="D83" i="10"/>
  <c r="C83" i="10"/>
  <c r="B83" i="10"/>
  <c r="I83" i="10" s="1"/>
  <c r="H82" i="10"/>
  <c r="G82" i="10"/>
  <c r="F82" i="10"/>
  <c r="E82" i="10"/>
  <c r="D82" i="10"/>
  <c r="C82" i="10"/>
  <c r="B82" i="10"/>
  <c r="I82" i="10" s="1"/>
  <c r="H81" i="10"/>
  <c r="H84" i="10" s="1"/>
  <c r="G81" i="10"/>
  <c r="G84" i="10" s="1"/>
  <c r="F81" i="10"/>
  <c r="F84" i="10" s="1"/>
  <c r="E81" i="10"/>
  <c r="E84" i="10" s="1"/>
  <c r="D81" i="10"/>
  <c r="D84" i="10" s="1"/>
  <c r="C81" i="10"/>
  <c r="C84" i="10" s="1"/>
  <c r="B81" i="10"/>
  <c r="B84" i="10" s="1"/>
  <c r="I80" i="10"/>
  <c r="F79" i="10"/>
  <c r="H78" i="10"/>
  <c r="G78" i="10"/>
  <c r="F78" i="10"/>
  <c r="E78" i="10"/>
  <c r="D78" i="10"/>
  <c r="C78" i="10"/>
  <c r="C79" i="10" s="1"/>
  <c r="B78" i="10"/>
  <c r="B79" i="10" s="1"/>
  <c r="I79" i="10" s="1"/>
  <c r="H77" i="10"/>
  <c r="C77" i="10"/>
  <c r="I77" i="10" s="1"/>
  <c r="I76" i="10"/>
  <c r="H76" i="10"/>
  <c r="G76" i="10"/>
  <c r="F76" i="10"/>
  <c r="E76" i="10"/>
  <c r="E79" i="10" s="1"/>
  <c r="D76" i="10"/>
  <c r="C76" i="10"/>
  <c r="B76" i="10"/>
  <c r="I75" i="10"/>
  <c r="H75" i="10"/>
  <c r="H79" i="10" s="1"/>
  <c r="G75" i="10"/>
  <c r="G79" i="10" s="1"/>
  <c r="F75" i="10"/>
  <c r="D75" i="10"/>
  <c r="C75" i="10"/>
  <c r="H74" i="10"/>
  <c r="D74" i="10"/>
  <c r="D79" i="10" s="1"/>
  <c r="I73" i="10"/>
  <c r="H71" i="10"/>
  <c r="G71" i="10"/>
  <c r="F71" i="10"/>
  <c r="E71" i="10"/>
  <c r="D71" i="10"/>
  <c r="C71" i="10"/>
  <c r="I71" i="10" s="1"/>
  <c r="B71" i="10"/>
  <c r="H70" i="10"/>
  <c r="I70" i="10" s="1"/>
  <c r="G70" i="10"/>
  <c r="C70" i="10"/>
  <c r="B70" i="10"/>
  <c r="H69" i="10"/>
  <c r="G69" i="10"/>
  <c r="F69" i="10"/>
  <c r="E69" i="10"/>
  <c r="B69" i="10"/>
  <c r="I69" i="10" s="1"/>
  <c r="H68" i="10"/>
  <c r="F68" i="10"/>
  <c r="E68" i="10"/>
  <c r="D68" i="10"/>
  <c r="C68" i="10"/>
  <c r="I68" i="10" s="1"/>
  <c r="H67" i="10"/>
  <c r="G67" i="10"/>
  <c r="F67" i="10"/>
  <c r="E67" i="10"/>
  <c r="D67" i="10"/>
  <c r="I67" i="10" s="1"/>
  <c r="B67" i="10"/>
  <c r="H66" i="10"/>
  <c r="G66" i="10"/>
  <c r="F66" i="10"/>
  <c r="E66" i="10"/>
  <c r="D66" i="10"/>
  <c r="C66" i="10"/>
  <c r="I66" i="10" s="1"/>
  <c r="B66" i="10"/>
  <c r="H65" i="10"/>
  <c r="G65" i="10"/>
  <c r="F65" i="10"/>
  <c r="E65" i="10"/>
  <c r="D65" i="10"/>
  <c r="C65" i="10"/>
  <c r="I65" i="10" s="1"/>
  <c r="B65" i="10"/>
  <c r="H64" i="10"/>
  <c r="H72" i="10" s="1"/>
  <c r="G64" i="10"/>
  <c r="G72" i="10" s="1"/>
  <c r="F64" i="10"/>
  <c r="F72" i="10" s="1"/>
  <c r="E64" i="10"/>
  <c r="E72" i="10" s="1"/>
  <c r="D64" i="10"/>
  <c r="D72" i="10" s="1"/>
  <c r="C64" i="10"/>
  <c r="I64" i="10" s="1"/>
  <c r="B64" i="10"/>
  <c r="B72" i="10" s="1"/>
  <c r="I63" i="10"/>
  <c r="H62" i="10"/>
  <c r="C62" i="10"/>
  <c r="B62" i="10"/>
  <c r="I61" i="10"/>
  <c r="E61" i="10"/>
  <c r="D61" i="10"/>
  <c r="G60" i="10"/>
  <c r="D60" i="10"/>
  <c r="I60" i="10" s="1"/>
  <c r="F59" i="10"/>
  <c r="E59" i="10"/>
  <c r="D59" i="10"/>
  <c r="I59" i="10" s="1"/>
  <c r="F58" i="10"/>
  <c r="I58" i="10" s="1"/>
  <c r="F57" i="10"/>
  <c r="E57" i="10"/>
  <c r="D57" i="10"/>
  <c r="I57" i="10" s="1"/>
  <c r="I56" i="10"/>
  <c r="F56" i="10"/>
  <c r="E56" i="10"/>
  <c r="D56" i="10"/>
  <c r="G55" i="10"/>
  <c r="F55" i="10"/>
  <c r="I55" i="10" s="1"/>
  <c r="I54" i="10"/>
  <c r="G54" i="10"/>
  <c r="G62" i="10" s="1"/>
  <c r="F54" i="10"/>
  <c r="F62" i="10" s="1"/>
  <c r="E54" i="10"/>
  <c r="E53" i="10"/>
  <c r="E62" i="10" s="1"/>
  <c r="D53" i="10"/>
  <c r="I53" i="10" s="1"/>
  <c r="I52" i="10"/>
  <c r="C51" i="10"/>
  <c r="I50" i="10"/>
  <c r="H50" i="10"/>
  <c r="H51" i="10" s="1"/>
  <c r="G50" i="10"/>
  <c r="F50" i="10"/>
  <c r="H49" i="10"/>
  <c r="G49" i="10"/>
  <c r="F49" i="10"/>
  <c r="E49" i="10"/>
  <c r="D49" i="10"/>
  <c r="C49" i="10"/>
  <c r="I49" i="10" s="1"/>
  <c r="B49" i="10"/>
  <c r="H48" i="10"/>
  <c r="G48" i="10"/>
  <c r="G51" i="10" s="1"/>
  <c r="F48" i="10"/>
  <c r="E48" i="10"/>
  <c r="E51" i="10" s="1"/>
  <c r="D48" i="10"/>
  <c r="B48" i="10"/>
  <c r="I48" i="10" s="1"/>
  <c r="D47" i="10"/>
  <c r="I47" i="10" s="1"/>
  <c r="F46" i="10"/>
  <c r="I46" i="10" s="1"/>
  <c r="F45" i="10"/>
  <c r="F51" i="10" s="1"/>
  <c r="C45" i="10"/>
  <c r="I45" i="10" s="1"/>
  <c r="B45" i="10"/>
  <c r="B51" i="10" s="1"/>
  <c r="I44" i="10"/>
  <c r="G43" i="10"/>
  <c r="H42" i="10"/>
  <c r="G42" i="10"/>
  <c r="F42" i="10"/>
  <c r="E42" i="10"/>
  <c r="D42" i="10"/>
  <c r="C42" i="10"/>
  <c r="I42" i="10" s="1"/>
  <c r="B42" i="10"/>
  <c r="H41" i="10"/>
  <c r="G41" i="10"/>
  <c r="F41" i="10"/>
  <c r="E41" i="10"/>
  <c r="E43" i="10" s="1"/>
  <c r="D41" i="10"/>
  <c r="C41" i="10"/>
  <c r="C43" i="10" s="1"/>
  <c r="B41" i="10"/>
  <c r="H40" i="10"/>
  <c r="D40" i="10"/>
  <c r="D43" i="10" s="1"/>
  <c r="H39" i="10"/>
  <c r="H43" i="10" s="1"/>
  <c r="G39" i="10"/>
  <c r="F39" i="10"/>
  <c r="F43" i="10" s="1"/>
  <c r="E39" i="10"/>
  <c r="D39" i="10"/>
  <c r="C39" i="10"/>
  <c r="B39" i="10"/>
  <c r="I39" i="10" s="1"/>
  <c r="G38" i="10"/>
  <c r="I38" i="10" s="1"/>
  <c r="I37" i="10"/>
  <c r="E36" i="10"/>
  <c r="D36" i="10"/>
  <c r="C36" i="10"/>
  <c r="H35" i="10"/>
  <c r="G35" i="10"/>
  <c r="D35" i="10"/>
  <c r="B35" i="10"/>
  <c r="I35" i="10" s="1"/>
  <c r="H34" i="10"/>
  <c r="G34" i="10"/>
  <c r="F34" i="10"/>
  <c r="E34" i="10"/>
  <c r="D34" i="10"/>
  <c r="C34" i="10"/>
  <c r="B34" i="10"/>
  <c r="I34" i="10" s="1"/>
  <c r="H33" i="10"/>
  <c r="G33" i="10"/>
  <c r="F33" i="10"/>
  <c r="E33" i="10"/>
  <c r="D33" i="10"/>
  <c r="C33" i="10"/>
  <c r="B33" i="10"/>
  <c r="I33" i="10" s="1"/>
  <c r="H32" i="10"/>
  <c r="G32" i="10"/>
  <c r="F32" i="10"/>
  <c r="E32" i="10"/>
  <c r="D32" i="10"/>
  <c r="C32" i="10"/>
  <c r="B32" i="10"/>
  <c r="I32" i="10" s="1"/>
  <c r="H31" i="10"/>
  <c r="H36" i="10" s="1"/>
  <c r="G31" i="10"/>
  <c r="G36" i="10" s="1"/>
  <c r="F31" i="10"/>
  <c r="F36" i="10" s="1"/>
  <c r="E31" i="10"/>
  <c r="D31" i="10"/>
  <c r="C31" i="10"/>
  <c r="B31" i="10"/>
  <c r="I31" i="10" s="1"/>
  <c r="I30" i="10"/>
  <c r="H26" i="10"/>
  <c r="F26" i="10"/>
  <c r="E26" i="10"/>
  <c r="D26" i="10"/>
  <c r="C26" i="10"/>
  <c r="B26" i="10"/>
  <c r="I25" i="10"/>
  <c r="G25" i="10"/>
  <c r="G26" i="10" s="1"/>
  <c r="I24" i="10"/>
  <c r="H22" i="10"/>
  <c r="H23" i="10" s="1"/>
  <c r="G22" i="10"/>
  <c r="G23" i="10" s="1"/>
  <c r="F22" i="10"/>
  <c r="F23" i="10" s="1"/>
  <c r="E22" i="10"/>
  <c r="E23" i="10" s="1"/>
  <c r="D22" i="10"/>
  <c r="D23" i="10" s="1"/>
  <c r="C22" i="10"/>
  <c r="C23" i="10" s="1"/>
  <c r="B22" i="10"/>
  <c r="B23" i="10" s="1"/>
  <c r="I23" i="10" s="1"/>
  <c r="I21" i="10"/>
  <c r="G20" i="10"/>
  <c r="E20" i="10"/>
  <c r="I19" i="10"/>
  <c r="F19" i="10"/>
  <c r="I18" i="10"/>
  <c r="F18" i="10"/>
  <c r="I17" i="10"/>
  <c r="G17" i="10"/>
  <c r="F17" i="10"/>
  <c r="E17" i="10"/>
  <c r="D17" i="10"/>
  <c r="F16" i="10"/>
  <c r="I16" i="10" s="1"/>
  <c r="F15" i="10"/>
  <c r="E15" i="10"/>
  <c r="I15" i="10" s="1"/>
  <c r="D15" i="10"/>
  <c r="C15" i="10"/>
  <c r="H14" i="10"/>
  <c r="H20" i="10" s="1"/>
  <c r="F14" i="10"/>
  <c r="F20" i="10" s="1"/>
  <c r="E14" i="10"/>
  <c r="D14" i="10"/>
  <c r="C14" i="10"/>
  <c r="C20" i="10" s="1"/>
  <c r="B14" i="10"/>
  <c r="B20" i="10" s="1"/>
  <c r="F13" i="10"/>
  <c r="E13" i="10"/>
  <c r="D13" i="10"/>
  <c r="D20" i="10" s="1"/>
  <c r="H12" i="10"/>
  <c r="F12" i="10"/>
  <c r="E12" i="10"/>
  <c r="C12" i="10"/>
  <c r="B12" i="10"/>
  <c r="G11" i="10"/>
  <c r="G12" i="10" s="1"/>
  <c r="D11" i="10"/>
  <c r="I11" i="10" s="1"/>
  <c r="I10" i="10"/>
  <c r="H8" i="10"/>
  <c r="H9" i="10" s="1"/>
  <c r="G8" i="10"/>
  <c r="G9" i="10" s="1"/>
  <c r="F8" i="10"/>
  <c r="F9" i="10" s="1"/>
  <c r="E8" i="10"/>
  <c r="E9" i="10" s="1"/>
  <c r="D8" i="10"/>
  <c r="D9" i="10" s="1"/>
  <c r="C8" i="10"/>
  <c r="C9" i="10" s="1"/>
  <c r="C27" i="10" s="1"/>
  <c r="C28" i="10" s="1"/>
  <c r="B8" i="10"/>
  <c r="B9" i="10" s="1"/>
  <c r="I7" i="10"/>
  <c r="G90" i="10" l="1"/>
  <c r="B27" i="10"/>
  <c r="I9" i="10"/>
  <c r="H90" i="10"/>
  <c r="I51" i="10"/>
  <c r="I62" i="10"/>
  <c r="I84" i="10"/>
  <c r="I20" i="10"/>
  <c r="E27" i="10"/>
  <c r="E28" i="10" s="1"/>
  <c r="E91" i="10" s="1"/>
  <c r="E98" i="10" s="1"/>
  <c r="D90" i="10"/>
  <c r="I89" i="10"/>
  <c r="F27" i="10"/>
  <c r="F28" i="10" s="1"/>
  <c r="I26" i="10"/>
  <c r="E90" i="10"/>
  <c r="G27" i="10"/>
  <c r="G28" i="10" s="1"/>
  <c r="G91" i="10" s="1"/>
  <c r="I96" i="10"/>
  <c r="H27" i="10"/>
  <c r="H28" i="10" s="1"/>
  <c r="H91" i="10" s="1"/>
  <c r="H98" i="10" s="1"/>
  <c r="F90" i="10"/>
  <c r="D62" i="10"/>
  <c r="C72" i="10"/>
  <c r="C90" i="10" s="1"/>
  <c r="C91" i="10" s="1"/>
  <c r="C98" i="10" s="1"/>
  <c r="D51" i="10"/>
  <c r="D12" i="10"/>
  <c r="D27" i="10" s="1"/>
  <c r="D28" i="10" s="1"/>
  <c r="D91" i="10" s="1"/>
  <c r="D98" i="10" s="1"/>
  <c r="I14" i="10"/>
  <c r="I40" i="10"/>
  <c r="I41" i="10"/>
  <c r="I74" i="10"/>
  <c r="I86" i="10"/>
  <c r="I8" i="10"/>
  <c r="I13" i="10"/>
  <c r="I22" i="10"/>
  <c r="B43" i="10"/>
  <c r="I43" i="10" s="1"/>
  <c r="I78" i="10"/>
  <c r="I81" i="10"/>
  <c r="B36" i="10"/>
  <c r="G95" i="10"/>
  <c r="G96" i="10" s="1"/>
  <c r="G97" i="10" s="1"/>
  <c r="I97" i="10" s="1"/>
  <c r="G98" i="10" l="1"/>
  <c r="I72" i="10"/>
  <c r="B28" i="10"/>
  <c r="I27" i="10"/>
  <c r="I12" i="10"/>
  <c r="I95" i="10"/>
  <c r="B90" i="10"/>
  <c r="I90" i="10" s="1"/>
  <c r="I36" i="10"/>
  <c r="F91" i="10"/>
  <c r="F98" i="10" s="1"/>
  <c r="I28" i="10" l="1"/>
  <c r="B91" i="10"/>
  <c r="I91" i="10" l="1"/>
  <c r="B98" i="10"/>
  <c r="I98" i="10" s="1"/>
</calcChain>
</file>

<file path=xl/sharedStrings.xml><?xml version="1.0" encoding="utf-8"?>
<sst xmlns="http://schemas.openxmlformats.org/spreadsheetml/2006/main" count="494" uniqueCount="396">
  <si>
    <t>Other Income</t>
  </si>
  <si>
    <t>Total Income</t>
  </si>
  <si>
    <t>Total</t>
  </si>
  <si>
    <t>Actual</t>
  </si>
  <si>
    <t>Budget</t>
  </si>
  <si>
    <t>over Budget</t>
  </si>
  <si>
    <t>% of Budget</t>
  </si>
  <si>
    <t>Income</t>
  </si>
  <si>
    <t>Gross Profit</t>
  </si>
  <si>
    <t>Expenses</t>
  </si>
  <si>
    <t>Total Expenses</t>
  </si>
  <si>
    <t>Net Operating Income</t>
  </si>
  <si>
    <t>Net Income</t>
  </si>
  <si>
    <t>ASSETS</t>
  </si>
  <si>
    <t xml:space="preserve">   Current Assets</t>
  </si>
  <si>
    <t xml:space="preserve">      Bank Accounts</t>
  </si>
  <si>
    <t xml:space="preserve">      Total Bank Accounts</t>
  </si>
  <si>
    <t xml:space="preserve">      Other Current Assets</t>
  </si>
  <si>
    <t xml:space="preserve">      Total Other Current Assets</t>
  </si>
  <si>
    <t xml:space="preserve">   Total Current Assets</t>
  </si>
  <si>
    <t xml:space="preserve">   Fixed Assets</t>
  </si>
  <si>
    <t xml:space="preserve">   Total Fixed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</si>
  <si>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</si>
  <si>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</si>
  <si>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</si>
  <si>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</si>
  <si>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</si>
  <si>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Total Accounts Payable</t>
  </si>
  <si>
    <t xml:space="preserve">         Credit Cards</t>
  </si>
  <si>
    <t xml:space="preserve">         Total Credit Cards</t>
  </si>
  <si>
    <t xml:space="preserve">         Other Current Liabilities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</si>
  <si>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</si>
  <si>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</si>
  <si>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</si>
  <si>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</si>
  <si>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Total Equity</t>
  </si>
  <si>
    <t>TOTAL LIABILITIES AND EQUITY</t>
  </si>
  <si>
    <t>Ann Bancroft Foundation</t>
  </si>
  <si>
    <t xml:space="preserve">   r400x INDIVIDUAL GIVING (r)</t>
  </si>
  <si>
    <t xml:space="preserve">      4000 Annual Campaign</t>
  </si>
  <si>
    <t xml:space="preserve">   Total r400x INDIVIDUAL GIVING (r)</t>
  </si>
  <si>
    <t xml:space="preserve">   r410X INSTITUTIONAL GIVING (r)</t>
  </si>
  <si>
    <t xml:space="preserve">      4100 Corporate / Foundation Grants</t>
  </si>
  <si>
    <t xml:space="preserve">   Total r410X INSTITUTIONAL GIVING (r)</t>
  </si>
  <si>
    <t xml:space="preserve">   r470x ANNUAL EVENT INCOME (r)</t>
  </si>
  <si>
    <t xml:space="preserve">      4700 Event Sponsors</t>
  </si>
  <si>
    <t xml:space="preserve">      4710 Tickets / Tables</t>
  </si>
  <si>
    <t xml:space="preserve">      4720 Auction</t>
  </si>
  <si>
    <t xml:space="preserve">      4730 Donations (Annual Event)</t>
  </si>
  <si>
    <t xml:space="preserve">      4740 Wine Pull &amp; Chance Wall</t>
  </si>
  <si>
    <t xml:space="preserve">   Total r470x ANNUAL EVENT INCOME (r)</t>
  </si>
  <si>
    <t xml:space="preserve">   r600X SALARIES &amp; BENEFITS (r)</t>
  </si>
  <si>
    <t xml:space="preserve">      6000 Wages</t>
  </si>
  <si>
    <t xml:space="preserve">      6005 Payroll Taxes (employer)</t>
  </si>
  <si>
    <t xml:space="preserve">      6006 Unemployment Tax (fed &amp; state)</t>
  </si>
  <si>
    <t xml:space="preserve">      6007 Healthcare</t>
  </si>
  <si>
    <t xml:space="preserve">      6020 Education</t>
  </si>
  <si>
    <t xml:space="preserve">   Total r600X SALARIES &amp; BENEFITS (r)</t>
  </si>
  <si>
    <t xml:space="preserve">   r604x CONTRACT, OUTSIDE &amp; PROFESSIONAL SVCS (r)</t>
  </si>
  <si>
    <t xml:space="preserve">      6045 Consulting &amp; Outside Services</t>
  </si>
  <si>
    <t xml:space="preserve">      6090 Accounting</t>
  </si>
  <si>
    <t xml:space="preserve">      6093 Payroll Service Fee</t>
  </si>
  <si>
    <t xml:space="preserve">   Total r604x CONTRACT, OUTSIDE &amp; PROFESSIONAL SVCS (r)</t>
  </si>
  <si>
    <t xml:space="preserve">   r610x GRANTS, TRAVEL, DIRECT PROGRAM (r)</t>
  </si>
  <si>
    <t xml:space="preserve">      6100 Alumnae Programming</t>
  </si>
  <si>
    <t xml:space="preserve">      6155 General Grants</t>
  </si>
  <si>
    <t xml:space="preserve">      6200 Mileage &amp; Parking</t>
  </si>
  <si>
    <t xml:space="preserve">      6205 Meals / Food</t>
  </si>
  <si>
    <t xml:space="preserve">   Total r610x GRANTS, TRAVEL, DIRECT PROGRAM (r)</t>
  </si>
  <si>
    <t xml:space="preserve">   r625x ANNUAL EVENT FOOD, FACILITIES, &amp; ENTERTAINMENT (r)</t>
  </si>
  <si>
    <t xml:space="preserve">      6250 Banquet Food (annual event)</t>
  </si>
  <si>
    <t xml:space="preserve">      6255 Event Space Rental</t>
  </si>
  <si>
    <t xml:space="preserve">      6265 Entertainment</t>
  </si>
  <si>
    <t xml:space="preserve">      6270 Event Contract Services</t>
  </si>
  <si>
    <t xml:space="preserve">      6275 Event Misc Expense</t>
  </si>
  <si>
    <t xml:space="preserve">      6280 Event Technology</t>
  </si>
  <si>
    <t xml:space="preserve">      6281 Event Postage</t>
  </si>
  <si>
    <t xml:space="preserve">      6282 Event Printing</t>
  </si>
  <si>
    <t xml:space="preserve">   Total r625x ANNUAL EVENT FOOD, FACILITIES, &amp; ENTERTAINMENT (r)</t>
  </si>
  <si>
    <t xml:space="preserve">   r630X OFFICE &amp; OCCUPANCY (r)</t>
  </si>
  <si>
    <t xml:space="preserve">      6300 Rent</t>
  </si>
  <si>
    <t xml:space="preserve">      6320 Telephone/Internet</t>
  </si>
  <si>
    <t xml:space="preserve">      6330 Database Management</t>
  </si>
  <si>
    <t xml:space="preserve">      6400 Supplies</t>
  </si>
  <si>
    <t xml:space="preserve">      6440 Postage / Delivery</t>
  </si>
  <si>
    <t xml:space="preserve">      6450 Office Equipment (minor)</t>
  </si>
  <si>
    <t xml:space="preserve">      6460 Insurance</t>
  </si>
  <si>
    <t xml:space="preserve">   Total r630X OFFICE &amp; OCCUPANCY (r)</t>
  </si>
  <si>
    <t xml:space="preserve">   r650x MARKETING, DESIGN, PRINTING (r)</t>
  </si>
  <si>
    <t xml:space="preserve">      6550 Web Management</t>
  </si>
  <si>
    <t xml:space="preserve">      6560 Marketing &amp; PR</t>
  </si>
  <si>
    <t xml:space="preserve">      6595 Volunteer Appreciation</t>
  </si>
  <si>
    <t xml:space="preserve">   Total r650x MARKETING, DESIGN, PRINTING (r)</t>
  </si>
  <si>
    <t xml:space="preserve">   r675x FEES, DUES, MEMBERSHIPS (r)</t>
  </si>
  <si>
    <t xml:space="preserve">      6750 Memberships, Dues, &amp; Subscriptions</t>
  </si>
  <si>
    <t xml:space="preserve">      6770 Bank Charges</t>
  </si>
  <si>
    <t xml:space="preserve">      6775 Third Party Processing Fees</t>
  </si>
  <si>
    <t xml:space="preserve">   Total r675x FEES, DUES, MEMBERSHIPS (r)</t>
  </si>
  <si>
    <t xml:space="preserve">   r693x MISCELLANEOUS &amp; OTHER (r)</t>
  </si>
  <si>
    <t xml:space="preserve">      6930 Miscellaneous Expense</t>
  </si>
  <si>
    <t xml:space="preserve">      6980 Depreciation</t>
  </si>
  <si>
    <t xml:space="preserve">   Total r693x MISCELLANEOUS &amp; OTHER (r)</t>
  </si>
  <si>
    <t>Profit and Loss by Month</t>
  </si>
  <si>
    <t>Jan 2023</t>
  </si>
  <si>
    <t>Feb 2023</t>
  </si>
  <si>
    <t>Mar 2023</t>
  </si>
  <si>
    <t>Apr 2023</t>
  </si>
  <si>
    <t>May 2023</t>
  </si>
  <si>
    <t>Jun 2023</t>
  </si>
  <si>
    <t xml:space="preserve">   r490x OTHER INCOME (r)</t>
  </si>
  <si>
    <t xml:space="preserve">      4980 Interest Income</t>
  </si>
  <si>
    <t xml:space="preserve">   Total r490x OTHER INCOME (r)</t>
  </si>
  <si>
    <t/>
  </si>
  <si>
    <t xml:space="preserve">      6570 Promotional Items</t>
  </si>
  <si>
    <t xml:space="preserve">      6165 Grant returns/reallocation</t>
  </si>
  <si>
    <t xml:space="preserve">      6040 Independent Contractor</t>
  </si>
  <si>
    <t xml:space="preserve">      6085 Media Work</t>
  </si>
  <si>
    <t xml:space="preserve">      6210 Travel/Hotel</t>
  </si>
  <si>
    <t xml:space="preserve">      6260 Decorations / Event Environment</t>
  </si>
  <si>
    <t xml:space="preserve">      6520 Graphic Design</t>
  </si>
  <si>
    <t>Budget vs. Actuals</t>
  </si>
  <si>
    <t>Notes</t>
  </si>
  <si>
    <t xml:space="preserve">      4750 Event In-Kind Donations</t>
  </si>
  <si>
    <t xml:space="preserve">   r700x TEMP RESTRICTED CONTRIBUTIONS (r)</t>
  </si>
  <si>
    <t xml:space="preserve">      7010 Other Miscellaneous Revenue TR</t>
  </si>
  <si>
    <t xml:space="preserve">   Total r700x TEMP RESTRICTED CONTRIBUTIONS (r)</t>
  </si>
  <si>
    <t xml:space="preserve">   r740x TR - RELEASED FROM RESTRICTIONS (r)</t>
  </si>
  <si>
    <t xml:space="preserve">      7441 TR Release - Institutional</t>
  </si>
  <si>
    <t xml:space="preserve">   Total r740x TR - RELEASED FROM RESTRICTIONS (r)</t>
  </si>
  <si>
    <t>Total Other Income</t>
  </si>
  <si>
    <t>Net Other Income</t>
  </si>
  <si>
    <t>January 1 - July 25, 2023</t>
  </si>
  <si>
    <t>Jul 1-25, 2023</t>
  </si>
  <si>
    <t xml:space="preserve">      6345 Technology</t>
  </si>
  <si>
    <t xml:space="preserve">      6990 Gifts In Kind Expenses</t>
  </si>
  <si>
    <t>Interest Expense</t>
  </si>
  <si>
    <t>Minnesota HomeCare Association</t>
  </si>
  <si>
    <t>Revenue</t>
  </si>
  <si>
    <t>Total Revenue</t>
  </si>
  <si>
    <t>Expenditures</t>
  </si>
  <si>
    <t>Total Expenditures</t>
  </si>
  <si>
    <t>Net Operating Revenue</t>
  </si>
  <si>
    <t>Other Revenue</t>
  </si>
  <si>
    <t xml:space="preserve">   Credit Card Rewards</t>
  </si>
  <si>
    <t>Total Other Revenue</t>
  </si>
  <si>
    <t>Other Expenditures</t>
  </si>
  <si>
    <t>Total Other Expenditures</t>
  </si>
  <si>
    <t>Net Other Revenue</t>
  </si>
  <si>
    <t>Net Revenue</t>
  </si>
  <si>
    <t>Membership Dues</t>
  </si>
  <si>
    <t>Annual Meeting</t>
  </si>
  <si>
    <t>Event Expenses</t>
  </si>
  <si>
    <t>Professional Services</t>
  </si>
  <si>
    <t>Investment Income (Loss)</t>
  </si>
  <si>
    <t>Interest Income</t>
  </si>
  <si>
    <t>Other Operating Expenses</t>
  </si>
  <si>
    <t xml:space="preserve">Statement of Financial Position Comparison </t>
  </si>
  <si>
    <t xml:space="preserve">      Accounts Receivable</t>
  </si>
  <si>
    <t xml:space="preserve">      Total Accounts Receivable</t>
  </si>
  <si>
    <t xml:space="preserve">      Net Revenue</t>
  </si>
  <si>
    <t>Statement of Activity by Month</t>
  </si>
  <si>
    <t>Admin</t>
  </si>
  <si>
    <t>Marketing &amp; Membership</t>
  </si>
  <si>
    <t>Education</t>
  </si>
  <si>
    <t>Payroll &amp; Benefits</t>
  </si>
  <si>
    <t>Other Education</t>
  </si>
  <si>
    <t>Sponsorships</t>
  </si>
  <si>
    <t xml:space="preserve">   Education Seminars/Webinars</t>
  </si>
  <si>
    <t xml:space="preserve">   Total Education Seminars/Webinars</t>
  </si>
  <si>
    <t>Consolitaed into 1 account for 2023/2024</t>
  </si>
  <si>
    <t xml:space="preserve">   4.1 Membership Dues</t>
  </si>
  <si>
    <t xml:space="preserve">      Business Partner Dues</t>
  </si>
  <si>
    <t xml:space="preserve">      Provider Member Dues</t>
  </si>
  <si>
    <t xml:space="preserve">      Tier 1 Dues</t>
  </si>
  <si>
    <t xml:space="preserve">      Tier 2 Dues</t>
  </si>
  <si>
    <t xml:space="preserve">      Tier 3 Dues</t>
  </si>
  <si>
    <t xml:space="preserve">      Tier 4 Dues</t>
  </si>
  <si>
    <t xml:space="preserve">      Tier 5 Dues</t>
  </si>
  <si>
    <t xml:space="preserve">      Tier 6 Dues</t>
  </si>
  <si>
    <t xml:space="preserve">      Tier 7 Dues</t>
  </si>
  <si>
    <t xml:space="preserve">   Total 4.1 Membership Dues</t>
  </si>
  <si>
    <t xml:space="preserve">   4.2 Event Income</t>
  </si>
  <si>
    <t xml:space="preserve">      Annual Meeting</t>
  </si>
  <si>
    <t xml:space="preserve">         Conference Registrations</t>
  </si>
  <si>
    <t xml:space="preserve">         Exhibitor Registration</t>
  </si>
  <si>
    <t xml:space="preserve">      Total Annual Meeting</t>
  </si>
  <si>
    <t xml:space="preserve">      Education Seminars/Webinars</t>
  </si>
  <si>
    <t xml:space="preserve">   Total 4.2 Event Income</t>
  </si>
  <si>
    <t xml:space="preserve">   4.3 Non-Dues Revenue</t>
  </si>
  <si>
    <t xml:space="preserve">      Career Center</t>
  </si>
  <si>
    <t xml:space="preserve">      CC Convenience Fee</t>
  </si>
  <si>
    <t xml:space="preserve">      Merchandise Sales</t>
  </si>
  <si>
    <t xml:space="preserve">      MHCF</t>
  </si>
  <si>
    <t xml:space="preserve">      Other (Misc) Income</t>
  </si>
  <si>
    <t xml:space="preserve">   Total 4.3 Non-Dues Revenue</t>
  </si>
  <si>
    <t xml:space="preserve">   4.4 Sponsorships</t>
  </si>
  <si>
    <t xml:space="preserve">      Employee Benefits</t>
  </si>
  <si>
    <t xml:space="preserve">   Event Expenses</t>
  </si>
  <si>
    <t xml:space="preserve">      Annual Meeting Expenses</t>
  </si>
  <si>
    <t xml:space="preserve">   Total Event Expenses</t>
  </si>
  <si>
    <t xml:space="preserve">   Operations Expenses</t>
  </si>
  <si>
    <t xml:space="preserve">      Bad Debt Expense</t>
  </si>
  <si>
    <t xml:space="preserve">      Bank &amp; Credit Card Charges</t>
  </si>
  <si>
    <t xml:space="preserve">      Communications</t>
  </si>
  <si>
    <t xml:space="preserve">      Conference Reg / Staff Training</t>
  </si>
  <si>
    <t xml:space="preserve">      Dues</t>
  </si>
  <si>
    <t xml:space="preserve">      Equipment Repairs/Maintenance</t>
  </si>
  <si>
    <t xml:space="preserve">      Insurance</t>
  </si>
  <si>
    <t xml:space="preserve">      Meetings/Retreats</t>
  </si>
  <si>
    <t xml:space="preserve">      Office Equipment &amp; Furniture</t>
  </si>
  <si>
    <t xml:space="preserve">      Office Lease</t>
  </si>
  <si>
    <t xml:space="preserve">      Office Supplies</t>
  </si>
  <si>
    <t xml:space="preserve">      Other (Misc) Expenses</t>
  </si>
  <si>
    <t xml:space="preserve">      Postage/Delivery</t>
  </si>
  <si>
    <t xml:space="preserve">      Printing</t>
  </si>
  <si>
    <t xml:space="preserve">      Web Based Training (RCTC)</t>
  </si>
  <si>
    <t xml:space="preserve">      Website Fee</t>
  </si>
  <si>
    <t xml:space="preserve">   Total Operations Expenses</t>
  </si>
  <si>
    <t xml:space="preserve">   Payroll Expenses</t>
  </si>
  <si>
    <t xml:space="preserve">      Employee Salary</t>
  </si>
  <si>
    <t xml:space="preserve">      Employer Taxes</t>
  </si>
  <si>
    <t xml:space="preserve">      Payroll Services</t>
  </si>
  <si>
    <t xml:space="preserve">   Total Payroll Expenses</t>
  </si>
  <si>
    <t xml:space="preserve">   Professional Services</t>
  </si>
  <si>
    <t xml:space="preserve">      Contract - Misc</t>
  </si>
  <si>
    <t xml:space="preserve">      Government Affairs Contract</t>
  </si>
  <si>
    <t xml:space="preserve">      Legal Fees</t>
  </si>
  <si>
    <t xml:space="preserve">      Nurse Consulting Fees</t>
  </si>
  <si>
    <t xml:space="preserve">      Outside Accounting</t>
  </si>
  <si>
    <t xml:space="preserve">   Total Professional Services</t>
  </si>
  <si>
    <t xml:space="preserve">   Staff Travel Expenses</t>
  </si>
  <si>
    <t xml:space="preserve">      Dining</t>
  </si>
  <si>
    <t xml:space="preserve">      Lodging</t>
  </si>
  <si>
    <t xml:space="preserve">      Travel</t>
  </si>
  <si>
    <t xml:space="preserve">   Total Staff Travel Expenses</t>
  </si>
  <si>
    <t xml:space="preserve">   Dividend Income</t>
  </si>
  <si>
    <t xml:space="preserve">   Interest Income</t>
  </si>
  <si>
    <t xml:space="preserve">   Realized Gain/Loss on Sale</t>
  </si>
  <si>
    <t xml:space="preserve">   Unrealized Gain (Loss)</t>
  </si>
  <si>
    <t xml:space="preserve">   Income Tax</t>
  </si>
  <si>
    <t xml:space="preserve">   Interest Expense</t>
  </si>
  <si>
    <t xml:space="preserve">      Long-Term Liabilities</t>
  </si>
  <si>
    <t xml:space="preserve">      Total Long-Term Liabilities</t>
  </si>
  <si>
    <t xml:space="preserve">      Recruitment Expenses</t>
  </si>
  <si>
    <t xml:space="preserve">      Payroll Expenses-1 (deleted)</t>
  </si>
  <si>
    <t>January - December 2024</t>
  </si>
  <si>
    <t>Total by Month</t>
  </si>
  <si>
    <t>Total per report</t>
  </si>
  <si>
    <t>Check</t>
  </si>
  <si>
    <t xml:space="preserve">      Revenue Share</t>
  </si>
  <si>
    <t>Moved Rev Share from Misc to here</t>
  </si>
  <si>
    <t>Moved Rev share from Misc to own line</t>
  </si>
  <si>
    <t>Investment income moved to Other Income (below)</t>
  </si>
  <si>
    <t xml:space="preserve">      Foundation Expenses for Reimb</t>
  </si>
  <si>
    <t>Income Taxes</t>
  </si>
  <si>
    <t xml:space="preserve">   4000 Membership Dues</t>
  </si>
  <si>
    <t xml:space="preserve">      4001 Tier 1 Dues</t>
  </si>
  <si>
    <t xml:space="preserve">      4002 Tier 2 Dues</t>
  </si>
  <si>
    <t xml:space="preserve">      4003 Tier 3 Dues</t>
  </si>
  <si>
    <t xml:space="preserve">      4004 Tier 4 Dues</t>
  </si>
  <si>
    <t xml:space="preserve">      4005 Tier 5 Dues</t>
  </si>
  <si>
    <t xml:space="preserve">      4006 Tier 6 Dues</t>
  </si>
  <si>
    <t xml:space="preserve">      4007 Tier 7 Dues</t>
  </si>
  <si>
    <t xml:space="preserve">      4050 Business Partner Dues</t>
  </si>
  <si>
    <t xml:space="preserve">   Total 4000 Membership Dues</t>
  </si>
  <si>
    <t xml:space="preserve">   4100 Event Income</t>
  </si>
  <si>
    <t xml:space="preserve">      4110 Annual Meeting</t>
  </si>
  <si>
    <t xml:space="preserve">         4111 Conference Registrations</t>
  </si>
  <si>
    <t xml:space="preserve">         4112 Exhibitor Registration</t>
  </si>
  <si>
    <t xml:space="preserve">      Total 4110 Annual Meeting</t>
  </si>
  <si>
    <t xml:space="preserve">      4160 Education Seminars/Webinars</t>
  </si>
  <si>
    <t xml:space="preserve">         4161 Education Seminars/Webinars</t>
  </si>
  <si>
    <t xml:space="preserve">      Total 4160 Education Seminars/Webinars</t>
  </si>
  <si>
    <t xml:space="preserve">   Total 4100 Event Income</t>
  </si>
  <si>
    <t xml:space="preserve">   4300 Sponsorships</t>
  </si>
  <si>
    <t xml:space="preserve">   4900 Other Revenue</t>
  </si>
  <si>
    <t xml:space="preserve">      4910 Merchandise Sales</t>
  </si>
  <si>
    <t xml:space="preserve">      4920 Career Center</t>
  </si>
  <si>
    <t xml:space="preserve">      4925 CC Convenience Fee</t>
  </si>
  <si>
    <t xml:space="preserve">      4935 MHCF</t>
  </si>
  <si>
    <t xml:space="preserve">      4990 Other (Misc) Income</t>
  </si>
  <si>
    <t xml:space="preserve">   Total 4900 Other Revenue</t>
  </si>
  <si>
    <t xml:space="preserve">   5000 Event Expenses</t>
  </si>
  <si>
    <t xml:space="preserve">      5010 Annual Meeting Expenses</t>
  </si>
  <si>
    <t xml:space="preserve">      5030 Education Seminars/Webinars</t>
  </si>
  <si>
    <t xml:space="preserve">   Total 5000 Event Expenses</t>
  </si>
  <si>
    <t xml:space="preserve">   6000 Payroll Expenses</t>
  </si>
  <si>
    <t xml:space="preserve">      6010 Employee Salary</t>
  </si>
  <si>
    <t xml:space="preserve">      6020 Employer Taxes</t>
  </si>
  <si>
    <t xml:space="preserve">      6030 Employee Benefits</t>
  </si>
  <si>
    <t xml:space="preserve">      6035 ER Retirement Contributions</t>
  </si>
  <si>
    <t xml:space="preserve">      6040 Payroll Services</t>
  </si>
  <si>
    <t xml:space="preserve">   Total 6000 Payroll Expenses</t>
  </si>
  <si>
    <t xml:space="preserve">   6100 Professional Services</t>
  </si>
  <si>
    <t xml:space="preserve">      6130 Government Affairs Contract</t>
  </si>
  <si>
    <t xml:space="preserve">      6140 Legal Fees</t>
  </si>
  <si>
    <t xml:space="preserve">      6150 Outside Accounting</t>
  </si>
  <si>
    <t xml:space="preserve">      6190 Contract - Misc</t>
  </si>
  <si>
    <t xml:space="preserve">   Total 6100 Professional Services</t>
  </si>
  <si>
    <t xml:space="preserve">   6500 Staff Travel Expenses</t>
  </si>
  <si>
    <t xml:space="preserve">      6510 Dining</t>
  </si>
  <si>
    <t xml:space="preserve">      6520 Travel</t>
  </si>
  <si>
    <t xml:space="preserve">      6530 Lodging</t>
  </si>
  <si>
    <t xml:space="preserve">   Total 6500 Staff Travel Expenses</t>
  </si>
  <si>
    <t xml:space="preserve">   6800 Operations Expenses</t>
  </si>
  <si>
    <t xml:space="preserve">      6810 Bad Debt Expense</t>
  </si>
  <si>
    <t xml:space="preserve">      6815 Bank &amp; Credit Card Charges</t>
  </si>
  <si>
    <t xml:space="preserve">      6820 Communications</t>
  </si>
  <si>
    <t xml:space="preserve">      6825 Conference Reg / Staff Training</t>
  </si>
  <si>
    <t xml:space="preserve">      6830 Dues</t>
  </si>
  <si>
    <t xml:space="preserve">      6835 Equipment Repairs/Maintenance</t>
  </si>
  <si>
    <t xml:space="preserve">      6840 Insurance</t>
  </si>
  <si>
    <t xml:space="preserve">      6845 Meetings/Retreats</t>
  </si>
  <si>
    <t xml:space="preserve">      6860 Office Equipment &amp; Furniture</t>
  </si>
  <si>
    <t xml:space="preserve">      6865 Office Lease</t>
  </si>
  <si>
    <t xml:space="preserve">      6870 Office Supplies</t>
  </si>
  <si>
    <t xml:space="preserve">      6875 Other (Misc) Expenses</t>
  </si>
  <si>
    <t xml:space="preserve">      6880 Postage/Delivery</t>
  </si>
  <si>
    <t xml:space="preserve">      6885 Printing</t>
  </si>
  <si>
    <t xml:space="preserve">      6915 Website Fee</t>
  </si>
  <si>
    <t xml:space="preserve">   Total 6800 Operations Expenses</t>
  </si>
  <si>
    <t xml:space="preserve">   7010 Dividend Income</t>
  </si>
  <si>
    <t xml:space="preserve">   7020 Interest Income</t>
  </si>
  <si>
    <t xml:space="preserve">   7030 Unrealized Gain (Loss)</t>
  </si>
  <si>
    <t xml:space="preserve">   7050 Realized Gain/Loss on Sale</t>
  </si>
  <si>
    <t xml:space="preserve">   7110 Interest Expense</t>
  </si>
  <si>
    <t xml:space="preserve">   7190 Income Tax</t>
  </si>
  <si>
    <t xml:space="preserve">         1000 Petty Cash</t>
  </si>
  <si>
    <t xml:space="preserve">         1010 Checking North Star Bank</t>
  </si>
  <si>
    <t xml:space="preserve">         1020 PrimeSweep</t>
  </si>
  <si>
    <t xml:space="preserve">         1100 Accounts Receivable</t>
  </si>
  <si>
    <t xml:space="preserve">         1110 Allowance for doubtfull Account</t>
  </si>
  <si>
    <t xml:space="preserve">         1120 YM Accounts Receivable</t>
  </si>
  <si>
    <t xml:space="preserve">         1200 Mutual Funds-Reserve Account</t>
  </si>
  <si>
    <t xml:space="preserve">            1205 Short Term Investments</t>
  </si>
  <si>
    <t xml:space="preserve">            1210 CD - Athene 6341</t>
  </si>
  <si>
    <t xml:space="preserve">            1211 CD - Athene 6340</t>
  </si>
  <si>
    <t xml:space="preserve">            1212 CD - Athene 6338</t>
  </si>
  <si>
    <t xml:space="preserve">            1290 Gain/Loss on Mutual Fund Invest</t>
  </si>
  <si>
    <t xml:space="preserve">         Total 1200 Mutual Funds-Reserve Account</t>
  </si>
  <si>
    <t xml:space="preserve">         1300 Undeposited Funds</t>
  </si>
  <si>
    <t xml:space="preserve">         1400 Prepaid Expenses</t>
  </si>
  <si>
    <t xml:space="preserve">      1600 Office Equipment &amp; Furniture</t>
  </si>
  <si>
    <t xml:space="preserve">      1650 Accumulated Depreciation</t>
  </si>
  <si>
    <t xml:space="preserve">            2000 Accounts Payable</t>
  </si>
  <si>
    <t xml:space="preserve">            2100 Capital One</t>
  </si>
  <si>
    <t xml:space="preserve">            2200 Accrued Expenses</t>
  </si>
  <si>
    <t xml:space="preserve">            2210 Accrued Payroll</t>
  </si>
  <si>
    <t xml:space="preserve">            2220 Accrued PTO</t>
  </si>
  <si>
    <t xml:space="preserve">            2300 Accrued Payroll Liabilities</t>
  </si>
  <si>
    <t xml:space="preserve">               2305 Federal Withholding</t>
  </si>
  <si>
    <t xml:space="preserve">               2310 Federal Unemployment</t>
  </si>
  <si>
    <t xml:space="preserve">               2315 MN Withholding</t>
  </si>
  <si>
    <t xml:space="preserve">               2320 MN Unemployment</t>
  </si>
  <si>
    <t xml:space="preserve">               2325 OR Withholding</t>
  </si>
  <si>
    <t xml:space="preserve">               2330 Benefits</t>
  </si>
  <si>
    <t xml:space="preserve">               2335 Simple IRA</t>
  </si>
  <si>
    <t xml:space="preserve">               AD&amp;D (deleted)</t>
  </si>
  <si>
    <t xml:space="preserve">               Dental Insurance (deleted)</t>
  </si>
  <si>
    <t xml:space="preserve">               General Life (deleted)</t>
  </si>
  <si>
    <t xml:space="preserve">               LTD (deleted)</t>
  </si>
  <si>
    <t xml:space="preserve">               OR Unemployment (deleted)</t>
  </si>
  <si>
    <t xml:space="preserve">               Social Security and Medicare (deleted)</t>
  </si>
  <si>
    <t xml:space="preserve">            Total 2300 Accrued Payroll Liabilities</t>
  </si>
  <si>
    <t xml:space="preserve">            2390 Direct Deposit Payable</t>
  </si>
  <si>
    <t xml:space="preserve">            2500 Deferred Revenue - Member Dues</t>
  </si>
  <si>
    <t xml:space="preserve">               3600 Dues - Tier 4 (deleted)</t>
  </si>
  <si>
    <t xml:space="preserve">               3601 Dues - Tier 3 (deleted)</t>
  </si>
  <si>
    <t xml:space="preserve">               3602 Dues - Tier 2 (deleted)</t>
  </si>
  <si>
    <t xml:space="preserve">               3603 Dues - Tier 1 (deleted)</t>
  </si>
  <si>
    <t xml:space="preserve">               3604 Dues - Business Partner (deleted)</t>
  </si>
  <si>
    <t xml:space="preserve">               3611 Dues - Tier 5 (deleted)</t>
  </si>
  <si>
    <t xml:space="preserve">               3612 Dues - Tier 6 (deleted)</t>
  </si>
  <si>
    <t xml:space="preserve">               3613 Dues - Tier 7 (deleted)</t>
  </si>
  <si>
    <t xml:space="preserve">            Total 2500 Deferred Revenue - Member Dues</t>
  </si>
  <si>
    <t xml:space="preserve">            2510 Deferred Revenue - Registration</t>
  </si>
  <si>
    <t xml:space="preserve">            2520 Deferred Revenue - Exhibits</t>
  </si>
  <si>
    <t xml:space="preserve">            2530 Deferred Revenue Annual Meeting</t>
  </si>
  <si>
    <t xml:space="preserve">            2800 Employee Parking Pass</t>
  </si>
  <si>
    <t xml:space="preserve">            2810 Sales Tax Agency Payable</t>
  </si>
  <si>
    <t xml:space="preserve">            2815 Treasurer, State of Minnesota Payable</t>
  </si>
  <si>
    <t xml:space="preserve">            3801 *Sales Tax Payable (deleted)</t>
  </si>
  <si>
    <t xml:space="preserve">         2900 COVID-19 SBA Loan</t>
  </si>
  <si>
    <t xml:space="preserve">      3000 Unrestricted Net Assets</t>
  </si>
  <si>
    <t xml:space="preserve">      3010 Opening Bal Equity</t>
  </si>
  <si>
    <t xml:space="preserve">      4055 New Provider Member Dues</t>
  </si>
  <si>
    <t xml:space="preserve">         4162 RCTC Revenue</t>
  </si>
  <si>
    <t xml:space="preserve">      5020 Web Based Training (RCTC)</t>
  </si>
  <si>
    <t xml:space="preserve">      6120 Regulatory Consulting Fees</t>
  </si>
  <si>
    <t>AIOA Comments</t>
  </si>
  <si>
    <t xml:space="preserve">         Due from Foundation</t>
  </si>
  <si>
    <t xml:space="preserve">      6905 Staff Development</t>
  </si>
  <si>
    <t>January - August 2024</t>
  </si>
  <si>
    <t>As of August 31, 2024</t>
  </si>
  <si>
    <t>As of Aug 31, 2024</t>
  </si>
  <si>
    <t>As of Aug 31, 2023 (PY)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</si>
</sst>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</numFmts>
  <fonts count="14" x14ac:knownFonts="1"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9"/>
      <color indexed="8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43" fontId="1" fillId="0" borderId="1" xfId="1" applyFont="1" applyBorder="1" applyAlignment="1">
      <alignment horizontal="center" wrapText="1"/>
    </xf>
    <xf numFmtId="43" fontId="0" fillId="0" borderId="0" xfId="1" applyFont="1"/>
    <xf numFmtId="0" fontId="4" fillId="0" borderId="3" xfId="0" applyFont="1" applyBorder="1"/>
    <xf numFmtId="0" fontId="6" fillId="0" borderId="0" xfId="0" applyFont="1" applyAlignment="1">
      <alignment horizontal="left" wrapText="1"/>
    </xf>
    <xf numFmtId="164" fontId="7" fillId="0" borderId="0" xfId="0" applyNumberFormat="1" applyFont="1" applyAlignment="1">
      <alignment wrapText="1"/>
    </xf>
    <xf numFmtId="164" fontId="7" fillId="0" borderId="0" xfId="0" applyNumberFormat="1" applyFont="1" applyAlignment="1">
      <alignment horizontal="right" wrapText="1"/>
    </xf>
    <xf numFmtId="165" fontId="6" fillId="0" borderId="2" xfId="0" applyNumberFormat="1" applyFont="1" applyBorder="1" applyAlignment="1">
      <alignment horizontal="right" wrapText="1"/>
    </xf>
    <xf numFmtId="0" fontId="4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4" fontId="0" fillId="0" borderId="0" xfId="0" applyNumberFormat="1"/>
    <xf numFmtId="4" fontId="0" fillId="0" borderId="0" xfId="0" applyNumberFormat="1"/>
    <xf numFmtId="0" fontId="8" fillId="0" borderId="0" xfId="0" applyFont="1"/>
    <xf numFmtId="43" fontId="0" fillId="0" borderId="0" xfId="1" applyFont="1" applyFill="1" applyAlignment="1"/>
    <xf numFmtId="0" fontId="9" fillId="0" borderId="0" xfId="0" applyFont="1"/>
    <xf numFmtId="43" fontId="0" fillId="0" borderId="0" xfId="1" applyFont="1" applyFill="1"/>
    <xf numFmtId="43" fontId="1" fillId="0" borderId="1" xfId="1" applyFont="1" applyFill="1" applyBorder="1" applyAlignment="1">
      <alignment horizontal="center" wrapText="1"/>
    </xf>
    <xf numFmtId="43" fontId="1" fillId="0" borderId="0" xfId="1" applyFont="1" applyFill="1" applyBorder="1" applyAlignment="1">
      <alignment horizontal="center" wrapText="1"/>
    </xf>
    <xf numFmtId="14" fontId="1" fillId="0" borderId="1" xfId="1" applyNumberFormat="1" applyFont="1" applyFill="1" applyBorder="1" applyAlignment="1">
      <alignment horizontal="center" wrapText="1"/>
    </xf>
    <xf numFmtId="43" fontId="7" fillId="0" borderId="0" xfId="1" applyFont="1" applyFill="1" applyAlignment="1">
      <alignment wrapText="1"/>
    </xf>
    <xf numFmtId="43" fontId="7" fillId="0" borderId="0" xfId="1" applyFont="1" applyFill="1" applyAlignment="1">
      <alignment horizontal="right" wrapText="1"/>
    </xf>
    <xf numFmtId="43" fontId="13" fillId="0" borderId="0" xfId="1" applyFont="1" applyFill="1"/>
    <xf numFmtId="43" fontId="0" fillId="0" borderId="0" xfId="0" applyNumberFormat="1"/>
    <xf numFmtId="43" fontId="13" fillId="0" borderId="0" xfId="1" applyFont="1" applyFill="1" applyBorder="1"/>
    <xf numFmtId="43" fontId="6" fillId="0" borderId="2" xfId="1" applyFont="1" applyFill="1" applyBorder="1" applyAlignment="1">
      <alignment horizontal="right" wrapText="1"/>
    </xf>
    <xf numFmtId="43" fontId="6" fillId="0" borderId="7" xfId="1" applyFont="1" applyFill="1" applyBorder="1" applyAlignment="1">
      <alignment horizontal="right" wrapText="1"/>
    </xf>
    <xf numFmtId="43" fontId="7" fillId="0" borderId="0" xfId="1" applyFont="1" applyFill="1" applyBorder="1" applyAlignment="1">
      <alignment wrapText="1"/>
    </xf>
    <xf numFmtId="43" fontId="7" fillId="0" borderId="0" xfId="1" applyFont="1" applyFill="1" applyBorder="1" applyAlignment="1">
      <alignment horizontal="right" wrapText="1"/>
    </xf>
    <xf numFmtId="43" fontId="6" fillId="0" borderId="0" xfId="1" applyFont="1" applyFill="1" applyBorder="1" applyAlignment="1">
      <alignment horizontal="right" wrapText="1"/>
    </xf>
    <xf numFmtId="43" fontId="6" fillId="2" borderId="8" xfId="1" applyFont="1" applyFill="1" applyBorder="1" applyAlignment="1">
      <alignment horizontal="right" wrapText="1"/>
    </xf>
    <xf numFmtId="0" fontId="7" fillId="0" borderId="0" xfId="0" applyFont="1"/>
    <xf numFmtId="10" fontId="7" fillId="0" borderId="0" xfId="0" applyNumberFormat="1" applyFont="1" applyAlignment="1">
      <alignment horizontal="right" wrapText="1"/>
    </xf>
    <xf numFmtId="10" fontId="6" fillId="0" borderId="2" xfId="0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center"/>
    </xf>
    <xf numFmtId="0" fontId="0" fillId="0" borderId="0" xfId="0"/>
    <xf numFmtId="0" fontId="8" fillId="0" borderId="0" xfId="0" applyFont="1" applyAlignment="1">
      <alignment horizontal="center"/>
    </xf>
    <xf numFmtId="17" fontId="9" fillId="0" borderId="0" xfId="0" quotePrefix="1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E4E1B88-E45C-4D43-A5DD-3F6FB1EB3957}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365allinone.sharepoint.com/sites/MNHomeCareAssociation/Shared%20Documents/AIOA%20Docs/2024/Workpapers/2024%20Budget/2024%20Budget%20by%20Month.xlsx" TargetMode="External"/><Relationship Id="rId1" Type="http://schemas.openxmlformats.org/officeDocument/2006/relationships/externalLinkPath" Target="https://o365allinone.sharepoint.com/sites/MNHomeCareAssociation/Shared%20Documents/AIOA%20Docs/2024/Workpapers/2024%20Budget/2024%20Budget%20by%20Mon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M.01.05"/>
      <sheetName val="Admin by Month"/>
      <sheetName val="Membership by Month"/>
      <sheetName val="Education by Month"/>
      <sheetName val="Total by Month"/>
    </sheetNames>
    <sheetDataSet>
      <sheetData sheetId="0"/>
      <sheetData sheetId="1">
        <row r="29">
          <cell r="J29">
            <v>145.83333333333334</v>
          </cell>
          <cell r="K29">
            <v>145.83333333333334</v>
          </cell>
          <cell r="L29">
            <v>145.83333333333334</v>
          </cell>
          <cell r="M29">
            <v>145.83333333333334</v>
          </cell>
          <cell r="N29">
            <v>145.83333333333334</v>
          </cell>
          <cell r="O29">
            <v>145.83333333333334</v>
          </cell>
          <cell r="P29">
            <v>145.83333333333334</v>
          </cell>
          <cell r="Q29">
            <v>145.83333333333334</v>
          </cell>
          <cell r="R29">
            <v>145.83333333333334</v>
          </cell>
          <cell r="S29">
            <v>145.83333333333334</v>
          </cell>
          <cell r="T29">
            <v>145.83333333333334</v>
          </cell>
          <cell r="U29">
            <v>145.83333333333334</v>
          </cell>
        </row>
        <row r="30">
          <cell r="J30">
            <v>125</v>
          </cell>
          <cell r="K30">
            <v>125</v>
          </cell>
          <cell r="L30">
            <v>125</v>
          </cell>
          <cell r="M30">
            <v>125</v>
          </cell>
          <cell r="N30">
            <v>125</v>
          </cell>
          <cell r="O30">
            <v>125</v>
          </cell>
          <cell r="P30">
            <v>125</v>
          </cell>
          <cell r="Q30">
            <v>125</v>
          </cell>
          <cell r="R30">
            <v>125</v>
          </cell>
          <cell r="S30">
            <v>125</v>
          </cell>
          <cell r="T30">
            <v>125</v>
          </cell>
          <cell r="U30">
            <v>125</v>
          </cell>
        </row>
        <row r="31">
          <cell r="J31">
            <v>12.5</v>
          </cell>
          <cell r="K31">
            <v>12.5</v>
          </cell>
          <cell r="L31">
            <v>12.5</v>
          </cell>
          <cell r="M31">
            <v>12.5</v>
          </cell>
          <cell r="N31">
            <v>12.5</v>
          </cell>
          <cell r="O31">
            <v>12.5</v>
          </cell>
          <cell r="P31">
            <v>12.5</v>
          </cell>
          <cell r="Q31">
            <v>12.5</v>
          </cell>
          <cell r="R31">
            <v>12.5</v>
          </cell>
          <cell r="S31">
            <v>12.5</v>
          </cell>
          <cell r="T31">
            <v>12.5</v>
          </cell>
          <cell r="U31">
            <v>12.5</v>
          </cell>
        </row>
        <row r="32">
          <cell r="U32">
            <v>3500</v>
          </cell>
        </row>
        <row r="33">
          <cell r="U33">
            <v>5500</v>
          </cell>
        </row>
        <row r="44">
          <cell r="U44">
            <v>-5000</v>
          </cell>
        </row>
        <row r="45">
          <cell r="J45">
            <v>818.66666666666663</v>
          </cell>
          <cell r="K45">
            <v>818.66666666666663</v>
          </cell>
          <cell r="L45">
            <v>818.66666666666663</v>
          </cell>
          <cell r="M45">
            <v>818.66666666666663</v>
          </cell>
          <cell r="N45">
            <v>818.66666666666663</v>
          </cell>
          <cell r="O45">
            <v>818.66666666666663</v>
          </cell>
          <cell r="P45">
            <v>818.66666666666663</v>
          </cell>
          <cell r="Q45">
            <v>818.66666666666663</v>
          </cell>
          <cell r="R45">
            <v>818.66666666666663</v>
          </cell>
          <cell r="S45">
            <v>818.66666666666663</v>
          </cell>
          <cell r="T45">
            <v>818.66666666666663</v>
          </cell>
          <cell r="U45">
            <v>818.66666666666663</v>
          </cell>
        </row>
        <row r="46">
          <cell r="J46">
            <v>217</v>
          </cell>
          <cell r="K46">
            <v>217</v>
          </cell>
          <cell r="L46">
            <v>217</v>
          </cell>
          <cell r="M46">
            <v>217</v>
          </cell>
          <cell r="N46">
            <v>217</v>
          </cell>
          <cell r="O46">
            <v>417</v>
          </cell>
          <cell r="P46">
            <v>217</v>
          </cell>
          <cell r="Q46">
            <v>217</v>
          </cell>
          <cell r="R46">
            <v>316</v>
          </cell>
          <cell r="S46">
            <v>217</v>
          </cell>
          <cell r="T46">
            <v>217</v>
          </cell>
          <cell r="U46">
            <v>517</v>
          </cell>
        </row>
        <row r="47">
          <cell r="J47">
            <v>125</v>
          </cell>
          <cell r="K47">
            <v>125</v>
          </cell>
          <cell r="L47">
            <v>125</v>
          </cell>
          <cell r="M47">
            <v>125</v>
          </cell>
          <cell r="N47">
            <v>125</v>
          </cell>
          <cell r="O47">
            <v>125</v>
          </cell>
          <cell r="P47">
            <v>2925</v>
          </cell>
          <cell r="Q47">
            <v>125</v>
          </cell>
          <cell r="R47">
            <v>3425</v>
          </cell>
          <cell r="S47">
            <v>5100</v>
          </cell>
          <cell r="T47">
            <v>125</v>
          </cell>
          <cell r="U47">
            <v>125</v>
          </cell>
        </row>
        <row r="48">
          <cell r="J48">
            <v>1400</v>
          </cell>
          <cell r="P48">
            <v>1525</v>
          </cell>
          <cell r="S48">
            <v>750</v>
          </cell>
        </row>
        <row r="49">
          <cell r="J49">
            <v>50</v>
          </cell>
          <cell r="K49">
            <v>50</v>
          </cell>
          <cell r="L49">
            <v>50</v>
          </cell>
          <cell r="M49">
            <v>50</v>
          </cell>
          <cell r="N49">
            <v>50</v>
          </cell>
          <cell r="O49">
            <v>50</v>
          </cell>
          <cell r="P49">
            <v>50</v>
          </cell>
          <cell r="Q49">
            <v>50</v>
          </cell>
          <cell r="R49">
            <v>50</v>
          </cell>
          <cell r="S49">
            <v>50</v>
          </cell>
          <cell r="T49">
            <v>50</v>
          </cell>
          <cell r="U49">
            <v>50</v>
          </cell>
        </row>
        <row r="51">
          <cell r="J51">
            <v>166.66666666666666</v>
          </cell>
          <cell r="K51">
            <v>166.66666666666666</v>
          </cell>
          <cell r="L51">
            <v>166.66666666666666</v>
          </cell>
          <cell r="M51">
            <v>166.66666666666666</v>
          </cell>
          <cell r="N51">
            <v>166.66666666666666</v>
          </cell>
          <cell r="O51">
            <v>166.66666666666666</v>
          </cell>
          <cell r="P51">
            <v>166.66666666666666</v>
          </cell>
          <cell r="Q51">
            <v>166.66666666666666</v>
          </cell>
          <cell r="R51">
            <v>166.66666666666666</v>
          </cell>
          <cell r="S51">
            <v>166.66666666666666</v>
          </cell>
          <cell r="T51">
            <v>166.66666666666666</v>
          </cell>
          <cell r="U51">
            <v>166.66666666666666</v>
          </cell>
        </row>
        <row r="52">
          <cell r="J52">
            <v>124.99</v>
          </cell>
          <cell r="K52">
            <v>124.99</v>
          </cell>
          <cell r="L52">
            <v>124.99</v>
          </cell>
          <cell r="M52">
            <v>124.99</v>
          </cell>
          <cell r="N52">
            <v>124.99</v>
          </cell>
          <cell r="O52">
            <v>124.99</v>
          </cell>
          <cell r="P52">
            <v>124.99</v>
          </cell>
          <cell r="Q52">
            <v>6224.99</v>
          </cell>
          <cell r="R52">
            <v>124.99</v>
          </cell>
          <cell r="S52">
            <v>2312.9899999999998</v>
          </cell>
          <cell r="T52">
            <v>124.99</v>
          </cell>
          <cell r="U52">
            <v>125.11</v>
          </cell>
        </row>
        <row r="53">
          <cell r="Q53">
            <v>2000</v>
          </cell>
        </row>
        <row r="54">
          <cell r="J54">
            <v>1344.8</v>
          </cell>
          <cell r="K54">
            <v>1344.8</v>
          </cell>
          <cell r="L54">
            <v>1344.8</v>
          </cell>
          <cell r="M54">
            <v>1344.8</v>
          </cell>
          <cell r="N54">
            <v>1344.8</v>
          </cell>
          <cell r="O54">
            <v>1344.8</v>
          </cell>
          <cell r="P54">
            <v>1378.42</v>
          </cell>
          <cell r="Q54">
            <v>1378.42</v>
          </cell>
          <cell r="R54">
            <v>1378.42</v>
          </cell>
          <cell r="S54">
            <v>1378.42</v>
          </cell>
          <cell r="T54">
            <v>1378.42</v>
          </cell>
          <cell r="U54">
            <v>1378.1000000000001</v>
          </cell>
        </row>
        <row r="55">
          <cell r="J55">
            <v>34.58</v>
          </cell>
          <cell r="K55">
            <v>634.58000000000004</v>
          </cell>
          <cell r="L55">
            <v>34.58</v>
          </cell>
          <cell r="M55">
            <v>34.58</v>
          </cell>
          <cell r="N55">
            <v>34.58</v>
          </cell>
          <cell r="O55">
            <v>34.58</v>
          </cell>
          <cell r="P55">
            <v>34.58</v>
          </cell>
          <cell r="Q55">
            <v>34.58</v>
          </cell>
          <cell r="R55">
            <v>34.58</v>
          </cell>
          <cell r="S55">
            <v>34.58</v>
          </cell>
          <cell r="T55">
            <v>34.58</v>
          </cell>
          <cell r="U55">
            <v>34.619999999999997</v>
          </cell>
        </row>
        <row r="56">
          <cell r="J56">
            <v>333.33</v>
          </cell>
          <cell r="K56">
            <v>371.65</v>
          </cell>
          <cell r="L56">
            <v>333.33</v>
          </cell>
          <cell r="M56">
            <v>371.65</v>
          </cell>
          <cell r="N56">
            <v>333.33</v>
          </cell>
          <cell r="O56">
            <v>371.65</v>
          </cell>
          <cell r="P56">
            <v>333.33</v>
          </cell>
          <cell r="Q56">
            <v>371.65</v>
          </cell>
          <cell r="R56">
            <v>408.33</v>
          </cell>
          <cell r="S56">
            <v>371.65</v>
          </cell>
          <cell r="T56">
            <v>333.33</v>
          </cell>
          <cell r="U56">
            <v>371.77</v>
          </cell>
        </row>
        <row r="57">
          <cell r="J57">
            <v>12</v>
          </cell>
          <cell r="K57">
            <v>12</v>
          </cell>
          <cell r="L57">
            <v>12</v>
          </cell>
          <cell r="M57">
            <v>12</v>
          </cell>
          <cell r="N57">
            <v>12</v>
          </cell>
          <cell r="O57">
            <v>12</v>
          </cell>
          <cell r="P57">
            <v>12</v>
          </cell>
          <cell r="Q57">
            <v>12</v>
          </cell>
          <cell r="R57">
            <v>12</v>
          </cell>
          <cell r="S57">
            <v>12</v>
          </cell>
          <cell r="T57">
            <v>12</v>
          </cell>
          <cell r="U57">
            <v>12</v>
          </cell>
        </row>
        <row r="61">
          <cell r="J61">
            <v>1066.6600000000001</v>
          </cell>
          <cell r="K61">
            <v>1066.6600000000001</v>
          </cell>
          <cell r="L61">
            <v>1066.6600000000001</v>
          </cell>
          <cell r="M61">
            <v>1066.6600000000001</v>
          </cell>
          <cell r="N61">
            <v>1066.6600000000001</v>
          </cell>
          <cell r="O61">
            <v>1066.6600000000001</v>
          </cell>
          <cell r="P61">
            <v>1066.6600000000001</v>
          </cell>
          <cell r="Q61">
            <v>1066.6600000000001</v>
          </cell>
          <cell r="R61">
            <v>1066.6600000000001</v>
          </cell>
          <cell r="S61">
            <v>1066.6600000000001</v>
          </cell>
          <cell r="T61">
            <v>1066.6600000000001</v>
          </cell>
          <cell r="U61">
            <v>1126.74</v>
          </cell>
        </row>
        <row r="64">
          <cell r="J64">
            <v>31500</v>
          </cell>
          <cell r="K64">
            <v>31500</v>
          </cell>
          <cell r="L64">
            <v>31500</v>
          </cell>
          <cell r="M64">
            <v>31500</v>
          </cell>
          <cell r="N64">
            <v>31500</v>
          </cell>
          <cell r="O64">
            <v>31500</v>
          </cell>
          <cell r="P64">
            <v>31500</v>
          </cell>
          <cell r="Q64">
            <v>31500</v>
          </cell>
          <cell r="R64">
            <v>31500</v>
          </cell>
          <cell r="S64">
            <v>31500</v>
          </cell>
          <cell r="T64">
            <v>31500</v>
          </cell>
          <cell r="U64">
            <v>31500</v>
          </cell>
        </row>
        <row r="65">
          <cell r="J65">
            <v>2548.1666666666665</v>
          </cell>
          <cell r="K65">
            <v>2548.1666666666665</v>
          </cell>
          <cell r="L65">
            <v>2548.1666666666665</v>
          </cell>
          <cell r="M65">
            <v>2548.1666666666665</v>
          </cell>
          <cell r="N65">
            <v>2548.1666666666665</v>
          </cell>
          <cell r="O65">
            <v>2548.1666666666665</v>
          </cell>
          <cell r="P65">
            <v>2548.1666666666665</v>
          </cell>
          <cell r="Q65">
            <v>2548.1666666666665</v>
          </cell>
          <cell r="R65">
            <v>2548.1666666666665</v>
          </cell>
          <cell r="S65">
            <v>2548.1666666666665</v>
          </cell>
          <cell r="T65">
            <v>2548.1666666666665</v>
          </cell>
          <cell r="U65">
            <v>2548.1666666666665</v>
          </cell>
        </row>
        <row r="66">
          <cell r="J66">
            <v>3821</v>
          </cell>
          <cell r="K66">
            <v>3821</v>
          </cell>
          <cell r="L66">
            <v>3985.88</v>
          </cell>
          <cell r="M66">
            <v>3985.88</v>
          </cell>
          <cell r="N66">
            <v>3985.88</v>
          </cell>
          <cell r="O66">
            <v>3985.88</v>
          </cell>
          <cell r="P66">
            <v>3985.88</v>
          </cell>
          <cell r="Q66">
            <v>3985.88</v>
          </cell>
          <cell r="R66">
            <v>3985.88</v>
          </cell>
          <cell r="S66">
            <v>3985.88</v>
          </cell>
          <cell r="T66">
            <v>3985.88</v>
          </cell>
          <cell r="U66">
            <v>3986.08</v>
          </cell>
        </row>
        <row r="68">
          <cell r="J68">
            <v>128.33333333333334</v>
          </cell>
          <cell r="K68">
            <v>128.33333333333334</v>
          </cell>
          <cell r="L68">
            <v>128.33333333333334</v>
          </cell>
          <cell r="M68">
            <v>128.33333333333334</v>
          </cell>
          <cell r="N68">
            <v>128.33333333333334</v>
          </cell>
          <cell r="O68">
            <v>128.33333333333334</v>
          </cell>
          <cell r="P68">
            <v>128.33333333333334</v>
          </cell>
          <cell r="Q68">
            <v>128.33333333333334</v>
          </cell>
          <cell r="R68">
            <v>128.33333333333334</v>
          </cell>
          <cell r="S68">
            <v>128.33333333333334</v>
          </cell>
          <cell r="T68">
            <v>128.33333333333334</v>
          </cell>
          <cell r="U68">
            <v>128.33333333333334</v>
          </cell>
        </row>
        <row r="71">
          <cell r="J71">
            <v>85</v>
          </cell>
          <cell r="K71">
            <v>85</v>
          </cell>
          <cell r="L71">
            <v>85</v>
          </cell>
          <cell r="M71">
            <v>85</v>
          </cell>
          <cell r="N71">
            <v>85</v>
          </cell>
          <cell r="O71">
            <v>85</v>
          </cell>
          <cell r="P71">
            <v>85</v>
          </cell>
          <cell r="Q71">
            <v>85</v>
          </cell>
          <cell r="R71">
            <v>85</v>
          </cell>
          <cell r="S71">
            <v>85</v>
          </cell>
          <cell r="T71">
            <v>85</v>
          </cell>
          <cell r="U71">
            <v>85</v>
          </cell>
        </row>
        <row r="72">
          <cell r="J72">
            <v>6660</v>
          </cell>
          <cell r="K72">
            <v>6660</v>
          </cell>
          <cell r="L72">
            <v>6660</v>
          </cell>
          <cell r="M72">
            <v>6660</v>
          </cell>
          <cell r="N72">
            <v>6660</v>
          </cell>
          <cell r="O72">
            <v>6660</v>
          </cell>
          <cell r="P72">
            <v>6660</v>
          </cell>
          <cell r="Q72">
            <v>6660</v>
          </cell>
          <cell r="R72">
            <v>6660</v>
          </cell>
          <cell r="S72">
            <v>6660</v>
          </cell>
          <cell r="T72">
            <v>6660</v>
          </cell>
          <cell r="U72">
            <v>6660</v>
          </cell>
        </row>
        <row r="73">
          <cell r="J73">
            <v>41.666666666666664</v>
          </cell>
          <cell r="K73">
            <v>41.666666666666664</v>
          </cell>
          <cell r="L73">
            <v>41.666666666666664</v>
          </cell>
          <cell r="M73">
            <v>41.666666666666664</v>
          </cell>
          <cell r="N73">
            <v>41.666666666666664</v>
          </cell>
          <cell r="O73">
            <v>41.666666666666664</v>
          </cell>
          <cell r="P73">
            <v>41.666666666666664</v>
          </cell>
          <cell r="Q73">
            <v>41.666666666666664</v>
          </cell>
          <cell r="R73">
            <v>41.666666666666664</v>
          </cell>
          <cell r="S73">
            <v>41.666666666666664</v>
          </cell>
          <cell r="T73">
            <v>41.666666666666664</v>
          </cell>
          <cell r="U73">
            <v>41.666666666666664</v>
          </cell>
        </row>
        <row r="74">
          <cell r="J74">
            <v>25</v>
          </cell>
          <cell r="K74">
            <v>25</v>
          </cell>
          <cell r="L74">
            <v>25</v>
          </cell>
          <cell r="M74">
            <v>25</v>
          </cell>
          <cell r="N74">
            <v>25</v>
          </cell>
          <cell r="O74">
            <v>25</v>
          </cell>
          <cell r="P74">
            <v>25</v>
          </cell>
          <cell r="Q74">
            <v>25</v>
          </cell>
          <cell r="R74">
            <v>25</v>
          </cell>
          <cell r="S74">
            <v>25</v>
          </cell>
          <cell r="T74">
            <v>25</v>
          </cell>
          <cell r="U74">
            <v>25</v>
          </cell>
        </row>
        <row r="75">
          <cell r="J75">
            <v>8843.33</v>
          </cell>
          <cell r="K75">
            <v>1643.33</v>
          </cell>
          <cell r="L75">
            <v>1643.33</v>
          </cell>
          <cell r="M75">
            <v>1643.33</v>
          </cell>
          <cell r="N75">
            <v>1643.33</v>
          </cell>
          <cell r="O75">
            <v>1643.33</v>
          </cell>
          <cell r="P75">
            <v>1643.33</v>
          </cell>
          <cell r="Q75">
            <v>1643.33</v>
          </cell>
          <cell r="R75">
            <v>1643.33</v>
          </cell>
          <cell r="S75">
            <v>1643.33</v>
          </cell>
          <cell r="T75">
            <v>1643.33</v>
          </cell>
          <cell r="U75">
            <v>1643.37</v>
          </cell>
        </row>
        <row r="78">
          <cell r="J78">
            <v>40</v>
          </cell>
          <cell r="K78">
            <v>40</v>
          </cell>
          <cell r="L78">
            <v>40</v>
          </cell>
          <cell r="M78">
            <v>40</v>
          </cell>
          <cell r="N78">
            <v>40</v>
          </cell>
          <cell r="O78">
            <v>40</v>
          </cell>
          <cell r="P78">
            <v>40</v>
          </cell>
          <cell r="Q78">
            <v>40</v>
          </cell>
          <cell r="R78">
            <v>40</v>
          </cell>
          <cell r="S78">
            <v>40</v>
          </cell>
          <cell r="T78">
            <v>40</v>
          </cell>
          <cell r="U78">
            <v>40</v>
          </cell>
        </row>
        <row r="79">
          <cell r="J79">
            <v>225</v>
          </cell>
          <cell r="K79">
            <v>225</v>
          </cell>
          <cell r="L79">
            <v>225</v>
          </cell>
          <cell r="M79">
            <v>225</v>
          </cell>
          <cell r="N79">
            <v>225</v>
          </cell>
          <cell r="O79">
            <v>225</v>
          </cell>
          <cell r="P79">
            <v>225</v>
          </cell>
          <cell r="Q79">
            <v>225</v>
          </cell>
          <cell r="R79">
            <v>225</v>
          </cell>
          <cell r="S79">
            <v>225</v>
          </cell>
          <cell r="T79">
            <v>225</v>
          </cell>
          <cell r="U79">
            <v>225</v>
          </cell>
        </row>
        <row r="80">
          <cell r="J80">
            <v>25</v>
          </cell>
          <cell r="K80">
            <v>25</v>
          </cell>
          <cell r="L80">
            <v>25</v>
          </cell>
          <cell r="M80">
            <v>25</v>
          </cell>
          <cell r="N80">
            <v>25</v>
          </cell>
          <cell r="O80">
            <v>25</v>
          </cell>
          <cell r="P80">
            <v>25</v>
          </cell>
          <cell r="Q80">
            <v>25</v>
          </cell>
          <cell r="R80">
            <v>25</v>
          </cell>
          <cell r="S80">
            <v>25</v>
          </cell>
          <cell r="T80">
            <v>25</v>
          </cell>
          <cell r="U80">
            <v>25</v>
          </cell>
        </row>
        <row r="88">
          <cell r="J88">
            <v>1875</v>
          </cell>
          <cell r="K88">
            <v>1875</v>
          </cell>
          <cell r="L88">
            <v>1875</v>
          </cell>
          <cell r="M88">
            <v>1875</v>
          </cell>
          <cell r="N88">
            <v>1875</v>
          </cell>
          <cell r="O88">
            <v>1875</v>
          </cell>
          <cell r="P88">
            <v>1875</v>
          </cell>
          <cell r="Q88">
            <v>1875</v>
          </cell>
          <cell r="R88">
            <v>1875</v>
          </cell>
          <cell r="S88">
            <v>1875</v>
          </cell>
          <cell r="T88">
            <v>1875</v>
          </cell>
          <cell r="U88">
            <v>1875</v>
          </cell>
        </row>
        <row r="93">
          <cell r="S93">
            <v>1000</v>
          </cell>
        </row>
      </sheetData>
      <sheetData sheetId="2">
        <row r="8">
          <cell r="J8">
            <v>2131.25</v>
          </cell>
          <cell r="K8">
            <v>2131.25</v>
          </cell>
          <cell r="L8">
            <v>2131.25</v>
          </cell>
          <cell r="M8">
            <v>2131.25</v>
          </cell>
          <cell r="N8">
            <v>2131.25</v>
          </cell>
          <cell r="O8">
            <v>2131.25</v>
          </cell>
          <cell r="P8">
            <v>2131.25</v>
          </cell>
          <cell r="Q8">
            <v>2131.25</v>
          </cell>
          <cell r="R8">
            <v>2131.25</v>
          </cell>
          <cell r="S8">
            <v>2131.25</v>
          </cell>
          <cell r="T8">
            <v>2131.25</v>
          </cell>
          <cell r="U8">
            <v>2131.25</v>
          </cell>
        </row>
        <row r="9">
          <cell r="J9">
            <v>1531.25</v>
          </cell>
          <cell r="K9">
            <v>1531.25</v>
          </cell>
          <cell r="L9">
            <v>1531.25</v>
          </cell>
          <cell r="M9">
            <v>1531.25</v>
          </cell>
          <cell r="N9">
            <v>1531.25</v>
          </cell>
          <cell r="O9">
            <v>1531.25</v>
          </cell>
          <cell r="P9">
            <v>1531.25</v>
          </cell>
          <cell r="Q9">
            <v>1531.25</v>
          </cell>
          <cell r="R9">
            <v>1531.25</v>
          </cell>
          <cell r="S9">
            <v>1531.25</v>
          </cell>
          <cell r="T9">
            <v>1531.25</v>
          </cell>
          <cell r="U9">
            <v>1531.25</v>
          </cell>
        </row>
        <row r="10">
          <cell r="J10">
            <v>1314.1666666666667</v>
          </cell>
          <cell r="K10">
            <v>1314.1666666666667</v>
          </cell>
          <cell r="L10">
            <v>1314.1666666666667</v>
          </cell>
          <cell r="M10">
            <v>1314.1666666666667</v>
          </cell>
          <cell r="N10">
            <v>1314.1666666666667</v>
          </cell>
          <cell r="O10">
            <v>1314.1666666666667</v>
          </cell>
          <cell r="P10">
            <v>1314.1666666666667</v>
          </cell>
          <cell r="Q10">
            <v>1314.1666666666667</v>
          </cell>
          <cell r="R10">
            <v>1314.1666666666667</v>
          </cell>
          <cell r="S10">
            <v>1314.1666666666667</v>
          </cell>
          <cell r="T10">
            <v>1314.1666666666667</v>
          </cell>
          <cell r="U10">
            <v>1314.1666666666667</v>
          </cell>
        </row>
        <row r="11">
          <cell r="J11">
            <v>7291.666666666667</v>
          </cell>
          <cell r="K11">
            <v>7291.666666666667</v>
          </cell>
          <cell r="L11">
            <v>7291.666666666667</v>
          </cell>
          <cell r="M11">
            <v>7291.666666666667</v>
          </cell>
          <cell r="N11">
            <v>7291.666666666667</v>
          </cell>
          <cell r="O11">
            <v>7291.666666666667</v>
          </cell>
          <cell r="P11">
            <v>7291.666666666667</v>
          </cell>
          <cell r="Q11">
            <v>7291.666666666667</v>
          </cell>
          <cell r="R11">
            <v>7291.666666666667</v>
          </cell>
          <cell r="S11">
            <v>7291.666666666667</v>
          </cell>
          <cell r="T11">
            <v>7291.666666666667</v>
          </cell>
          <cell r="U11">
            <v>7291.666666666667</v>
          </cell>
        </row>
        <row r="12">
          <cell r="J12">
            <v>8926.6666666666661</v>
          </cell>
          <cell r="K12">
            <v>8926.6666666666661</v>
          </cell>
          <cell r="L12">
            <v>8926.6666666666661</v>
          </cell>
          <cell r="M12">
            <v>8926.6666666666661</v>
          </cell>
          <cell r="N12">
            <v>8926.6666666666661</v>
          </cell>
          <cell r="O12">
            <v>8926.6666666666661</v>
          </cell>
          <cell r="P12">
            <v>8926.6666666666661</v>
          </cell>
          <cell r="Q12">
            <v>8926.6666666666661</v>
          </cell>
          <cell r="R12">
            <v>8926.6666666666661</v>
          </cell>
          <cell r="S12">
            <v>8926.6666666666661</v>
          </cell>
          <cell r="T12">
            <v>8926.6666666666661</v>
          </cell>
          <cell r="U12">
            <v>8926.6666666666661</v>
          </cell>
        </row>
        <row r="13">
          <cell r="J13">
            <v>7583.333333333333</v>
          </cell>
          <cell r="K13">
            <v>7583.333333333333</v>
          </cell>
          <cell r="L13">
            <v>7583.333333333333</v>
          </cell>
          <cell r="M13">
            <v>7583.333333333333</v>
          </cell>
          <cell r="N13">
            <v>7583.333333333333</v>
          </cell>
          <cell r="O13">
            <v>7583.333333333333</v>
          </cell>
          <cell r="P13">
            <v>7583.333333333333</v>
          </cell>
          <cell r="Q13">
            <v>7583.333333333333</v>
          </cell>
          <cell r="R13">
            <v>7583.333333333333</v>
          </cell>
          <cell r="S13">
            <v>7583.333333333333</v>
          </cell>
          <cell r="T13">
            <v>7583.333333333333</v>
          </cell>
          <cell r="U13">
            <v>7583.333333333333</v>
          </cell>
        </row>
        <row r="14">
          <cell r="J14">
            <v>3175</v>
          </cell>
          <cell r="K14">
            <v>3175</v>
          </cell>
          <cell r="L14">
            <v>3175</v>
          </cell>
          <cell r="M14">
            <v>3175</v>
          </cell>
          <cell r="N14">
            <v>3175</v>
          </cell>
          <cell r="O14">
            <v>3175</v>
          </cell>
          <cell r="P14">
            <v>3175</v>
          </cell>
          <cell r="Q14">
            <v>3175</v>
          </cell>
          <cell r="R14">
            <v>3175</v>
          </cell>
          <cell r="S14">
            <v>3175</v>
          </cell>
          <cell r="T14">
            <v>3175</v>
          </cell>
          <cell r="U14">
            <v>3175</v>
          </cell>
        </row>
        <row r="15">
          <cell r="J15">
            <v>6339.5</v>
          </cell>
          <cell r="K15">
            <v>6339.5</v>
          </cell>
          <cell r="L15">
            <v>6339.5</v>
          </cell>
          <cell r="M15">
            <v>6339.5</v>
          </cell>
          <cell r="N15">
            <v>6339.5</v>
          </cell>
          <cell r="O15">
            <v>6339.5</v>
          </cell>
          <cell r="P15">
            <v>6339.5</v>
          </cell>
          <cell r="Q15">
            <v>6339.5</v>
          </cell>
          <cell r="R15">
            <v>6339.5</v>
          </cell>
          <cell r="S15">
            <v>6339.5</v>
          </cell>
          <cell r="T15">
            <v>6339.5</v>
          </cell>
          <cell r="U15">
            <v>6339.5</v>
          </cell>
        </row>
        <row r="16">
          <cell r="J16">
            <v>2310</v>
          </cell>
          <cell r="K16">
            <v>2310</v>
          </cell>
          <cell r="L16">
            <v>2310</v>
          </cell>
          <cell r="M16">
            <v>2310</v>
          </cell>
          <cell r="N16">
            <v>2310</v>
          </cell>
          <cell r="O16">
            <v>2310</v>
          </cell>
          <cell r="P16">
            <v>2310</v>
          </cell>
          <cell r="Q16">
            <v>2310</v>
          </cell>
          <cell r="R16">
            <v>2310</v>
          </cell>
          <cell r="S16">
            <v>2310</v>
          </cell>
          <cell r="T16">
            <v>2310</v>
          </cell>
          <cell r="U16">
            <v>2310</v>
          </cell>
        </row>
        <row r="35">
          <cell r="J35">
            <v>2187.5</v>
          </cell>
          <cell r="K35">
            <v>2187.5</v>
          </cell>
          <cell r="L35">
            <v>2187.5</v>
          </cell>
          <cell r="M35">
            <v>2187.5</v>
          </cell>
          <cell r="N35">
            <v>2187.5</v>
          </cell>
          <cell r="O35">
            <v>2187.5</v>
          </cell>
          <cell r="P35">
            <v>2187.5</v>
          </cell>
          <cell r="Q35">
            <v>2187.5</v>
          </cell>
          <cell r="R35">
            <v>2187.5</v>
          </cell>
          <cell r="S35">
            <v>2187.5</v>
          </cell>
          <cell r="T35">
            <v>2187.5</v>
          </cell>
          <cell r="U35">
            <v>2187.5</v>
          </cell>
        </row>
        <row r="53">
          <cell r="K53">
            <v>100</v>
          </cell>
        </row>
        <row r="57">
          <cell r="S57">
            <v>2000</v>
          </cell>
        </row>
        <row r="58">
          <cell r="J58">
            <v>250</v>
          </cell>
        </row>
        <row r="59">
          <cell r="J59">
            <v>275</v>
          </cell>
        </row>
      </sheetData>
      <sheetData sheetId="3">
        <row r="20">
          <cell r="S20">
            <v>65163</v>
          </cell>
        </row>
        <row r="21">
          <cell r="S21">
            <v>26560</v>
          </cell>
        </row>
        <row r="24">
          <cell r="J24">
            <v>331.45833340000001</v>
          </cell>
          <cell r="K24">
            <v>7911.4583333999999</v>
          </cell>
          <cell r="L24">
            <v>331.45833340000001</v>
          </cell>
          <cell r="M24">
            <v>331.45833340000001</v>
          </cell>
          <cell r="N24">
            <v>7269.4583333999999</v>
          </cell>
          <cell r="O24">
            <v>5056.4583333999999</v>
          </cell>
          <cell r="P24">
            <v>5796.4583333999999</v>
          </cell>
          <cell r="Q24">
            <v>33456.458333399998</v>
          </cell>
          <cell r="R24">
            <v>2131.4583333999999</v>
          </cell>
          <cell r="S24">
            <v>331.45833340000001</v>
          </cell>
          <cell r="T24">
            <v>2561.4583333999999</v>
          </cell>
          <cell r="U24">
            <v>331.45833340000001</v>
          </cell>
        </row>
        <row r="25">
          <cell r="P25">
            <v>1000</v>
          </cell>
        </row>
        <row r="40">
          <cell r="S40">
            <v>41594</v>
          </cell>
        </row>
        <row r="41">
          <cell r="J41">
            <v>1369</v>
          </cell>
          <cell r="K41">
            <v>3369</v>
          </cell>
          <cell r="L41">
            <v>119</v>
          </cell>
          <cell r="M41">
            <v>119</v>
          </cell>
          <cell r="N41">
            <v>1119</v>
          </cell>
          <cell r="O41">
            <v>619</v>
          </cell>
          <cell r="P41">
            <v>1119</v>
          </cell>
          <cell r="Q41">
            <v>23720</v>
          </cell>
          <cell r="R41">
            <v>1119</v>
          </cell>
          <cell r="S41">
            <v>119</v>
          </cell>
          <cell r="T41">
            <v>219</v>
          </cell>
          <cell r="U41">
            <v>119</v>
          </cell>
        </row>
        <row r="61">
          <cell r="J61">
            <v>1350</v>
          </cell>
          <cell r="K61">
            <v>1350</v>
          </cell>
          <cell r="L61">
            <v>1350</v>
          </cell>
          <cell r="M61">
            <v>1350</v>
          </cell>
          <cell r="N61">
            <v>1350</v>
          </cell>
          <cell r="O61">
            <v>1350</v>
          </cell>
          <cell r="P61">
            <v>1350</v>
          </cell>
          <cell r="Q61">
            <v>1350</v>
          </cell>
          <cell r="R61">
            <v>1350</v>
          </cell>
          <cell r="S61">
            <v>1350</v>
          </cell>
          <cell r="T61">
            <v>1350</v>
          </cell>
          <cell r="U61">
            <v>1350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BBBB4-DF2C-4A2D-98FD-4D26FA534BA0}">
  <sheetPr>
    <tabColor theme="9" tint="0.59999389629810485"/>
  </sheetPr>
  <dimension ref="A1:H100"/>
  <sheetViews>
    <sheetView tabSelected="1" topLeftCell="B4" workbookViewId="0">
      <selection activeCell="F53" sqref="F53"/>
    </sheetView>
  </sheetViews>
  <sheetFormatPr defaultRowHeight="14.5" outlineLevelCol="1" x14ac:dyDescent="0.35"/>
  <cols>
    <col min="1" max="1" width="24.54296875" hidden="1" customWidth="1" outlineLevel="1"/>
    <col min="2" max="2" width="45.54296875" customWidth="1" collapsed="1"/>
    <col min="3" max="5" width="14.26953125" style="3" customWidth="1"/>
    <col min="6" max="6" width="14.26953125" customWidth="1"/>
    <col min="7" max="7" width="50.81640625" customWidth="1"/>
  </cols>
  <sheetData>
    <row r="1" spans="1:8" ht="18" x14ac:dyDescent="0.4">
      <c r="B1" s="38" t="s">
        <v>136</v>
      </c>
      <c r="C1" s="39"/>
      <c r="D1" s="39"/>
      <c r="E1" s="39"/>
      <c r="F1" s="39"/>
    </row>
    <row r="2" spans="1:8" ht="18" x14ac:dyDescent="0.4">
      <c r="B2" s="40" t="s">
        <v>120</v>
      </c>
      <c r="C2" s="39"/>
      <c r="D2" s="39"/>
      <c r="E2" s="39"/>
      <c r="F2" s="39"/>
    </row>
    <row r="3" spans="1:8" x14ac:dyDescent="0.35">
      <c r="B3" s="41" t="s">
        <v>392</v>
      </c>
      <c r="C3" s="42"/>
      <c r="D3" s="42"/>
      <c r="E3" s="42"/>
      <c r="F3" s="42"/>
    </row>
    <row r="4" spans="1:8" x14ac:dyDescent="0.35">
      <c r="C4"/>
      <c r="D4"/>
      <c r="E4"/>
    </row>
    <row r="5" spans="1:8" x14ac:dyDescent="0.35">
      <c r="B5" s="1"/>
      <c r="C5" s="36" t="s">
        <v>2</v>
      </c>
      <c r="D5" s="37"/>
      <c r="E5" s="37"/>
      <c r="F5" s="37"/>
    </row>
    <row r="6" spans="1:8" x14ac:dyDescent="0.35">
      <c r="B6" s="1"/>
      <c r="C6" s="12" t="s">
        <v>3</v>
      </c>
      <c r="D6" s="12" t="s">
        <v>4</v>
      </c>
      <c r="E6" s="12" t="s">
        <v>5</v>
      </c>
      <c r="F6" s="12" t="s">
        <v>6</v>
      </c>
      <c r="G6" s="2" t="s">
        <v>389</v>
      </c>
    </row>
    <row r="7" spans="1:8" x14ac:dyDescent="0.35">
      <c r="A7" t="e">
        <f>VLOOKUP(B7,#REF!,2,FALSE)</f>
        <v>#REF!</v>
      </c>
      <c r="B7" s="5" t="s">
        <v>137</v>
      </c>
      <c r="C7" s="6"/>
      <c r="D7" s="6"/>
      <c r="E7" s="6"/>
      <c r="F7" s="6"/>
    </row>
    <row r="8" spans="1:8" x14ac:dyDescent="0.35">
      <c r="A8" t="e">
        <f>VLOOKUP(B8,#REF!,2,FALSE)</f>
        <v>#REF!</v>
      </c>
      <c r="B8" s="5" t="s">
        <v>255</v>
      </c>
      <c r="C8" s="7">
        <v>0</v>
      </c>
      <c r="D8" s="7">
        <v>0</v>
      </c>
      <c r="E8" s="7">
        <v>0</v>
      </c>
      <c r="F8" s="34" t="s">
        <v>112</v>
      </c>
    </row>
    <row r="9" spans="1:8" x14ac:dyDescent="0.35">
      <c r="A9" t="e">
        <f>VLOOKUP(B9,#REF!,2,FALSE)</f>
        <v>#REF!</v>
      </c>
      <c r="B9" s="5" t="s">
        <v>256</v>
      </c>
      <c r="C9" s="7">
        <v>8046.49</v>
      </c>
      <c r="D9" s="7">
        <v>10513.36</v>
      </c>
      <c r="E9" s="7">
        <v>-2466.8700000000008</v>
      </c>
      <c r="F9" s="34">
        <v>0.76535855330741065</v>
      </c>
    </row>
    <row r="10" spans="1:8" x14ac:dyDescent="0.35">
      <c r="A10" t="e">
        <f>VLOOKUP(B10,#REF!,2,FALSE)</f>
        <v>#REF!</v>
      </c>
      <c r="B10" s="5" t="s">
        <v>257</v>
      </c>
      <c r="C10" s="7">
        <v>81951.490000000005</v>
      </c>
      <c r="D10" s="7">
        <v>58333.36</v>
      </c>
      <c r="E10" s="7">
        <v>23618.130000000005</v>
      </c>
      <c r="F10" s="34">
        <v>1.4048820434824945</v>
      </c>
    </row>
    <row r="11" spans="1:8" x14ac:dyDescent="0.35">
      <c r="A11" t="e">
        <f>VLOOKUP(B11,#REF!,2,FALSE)</f>
        <v>#REF!</v>
      </c>
      <c r="B11" s="5" t="s">
        <v>258</v>
      </c>
      <c r="C11" s="7">
        <v>63230.54</v>
      </c>
      <c r="D11" s="7">
        <v>71413.36</v>
      </c>
      <c r="E11" s="7">
        <v>-8182.82</v>
      </c>
      <c r="F11" s="34">
        <v>0.88541611821653543</v>
      </c>
    </row>
    <row r="12" spans="1:8" x14ac:dyDescent="0.35">
      <c r="A12" t="e">
        <f>VLOOKUP(B12,#REF!,2,FALSE)</f>
        <v>#REF!</v>
      </c>
      <c r="B12" s="5" t="s">
        <v>259</v>
      </c>
      <c r="C12" s="7">
        <v>71204.160000000003</v>
      </c>
      <c r="D12" s="7">
        <v>60666.64</v>
      </c>
      <c r="E12" s="7">
        <v>10537.520000000004</v>
      </c>
      <c r="F12" s="34">
        <v>1.1736954609650379</v>
      </c>
    </row>
    <row r="13" spans="1:8" x14ac:dyDescent="0.35">
      <c r="A13" t="e">
        <f>VLOOKUP(B13,#REF!,2,FALSE)</f>
        <v>#REF!</v>
      </c>
      <c r="B13" s="5" t="s">
        <v>260</v>
      </c>
      <c r="C13" s="7">
        <v>31750</v>
      </c>
      <c r="D13" s="7">
        <v>25400</v>
      </c>
      <c r="E13" s="7">
        <v>6350</v>
      </c>
      <c r="F13" s="34">
        <v>1.25</v>
      </c>
    </row>
    <row r="14" spans="1:8" x14ac:dyDescent="0.35">
      <c r="A14" t="e">
        <f>VLOOKUP(B14,#REF!,2,FALSE)</f>
        <v>#REF!</v>
      </c>
      <c r="B14" s="5" t="s">
        <v>261</v>
      </c>
      <c r="C14" s="7">
        <v>50716</v>
      </c>
      <c r="D14" s="7">
        <v>50716</v>
      </c>
      <c r="E14" s="7">
        <v>0</v>
      </c>
      <c r="F14" s="34">
        <v>1</v>
      </c>
      <c r="H14" s="9"/>
    </row>
    <row r="15" spans="1:8" x14ac:dyDescent="0.35">
      <c r="A15" t="e">
        <f>VLOOKUP(B15,#REF!,2,FALSE)</f>
        <v>#REF!</v>
      </c>
      <c r="B15" s="5" t="s">
        <v>262</v>
      </c>
      <c r="C15" s="7">
        <v>13090</v>
      </c>
      <c r="D15" s="7">
        <v>18480</v>
      </c>
      <c r="E15" s="7">
        <v>-5390</v>
      </c>
      <c r="F15" s="34">
        <v>0.70833333333333337</v>
      </c>
      <c r="H15" s="9"/>
    </row>
    <row r="16" spans="1:8" x14ac:dyDescent="0.35">
      <c r="A16" t="e">
        <f>VLOOKUP(B16,#REF!,2,FALSE)</f>
        <v>#REF!</v>
      </c>
      <c r="B16" s="5" t="s">
        <v>263</v>
      </c>
      <c r="C16" s="7">
        <v>13396.44</v>
      </c>
      <c r="D16" s="7">
        <v>17050</v>
      </c>
      <c r="E16" s="7">
        <v>-3653.5599999999995</v>
      </c>
      <c r="F16" s="34">
        <v>0.78571495601173025</v>
      </c>
      <c r="H16" s="9"/>
    </row>
    <row r="17" spans="1:8" x14ac:dyDescent="0.35">
      <c r="A17" t="e">
        <f>VLOOKUP(B17,#REF!,2,FALSE)</f>
        <v>#REF!</v>
      </c>
      <c r="B17" s="5" t="s">
        <v>385</v>
      </c>
      <c r="C17" s="7">
        <v>415</v>
      </c>
      <c r="D17" s="7">
        <v>12250</v>
      </c>
      <c r="E17" s="7">
        <v>-11835</v>
      </c>
      <c r="F17" s="34">
        <v>3.387755102040816E-2</v>
      </c>
      <c r="H17" s="9"/>
    </row>
    <row r="18" spans="1:8" x14ac:dyDescent="0.35">
      <c r="A18" t="e">
        <f>VLOOKUP(B18,#REF!,2,FALSE)</f>
        <v>#REF!</v>
      </c>
      <c r="B18" s="5" t="s">
        <v>264</v>
      </c>
      <c r="C18" s="8">
        <v>333800.12000000005</v>
      </c>
      <c r="D18" s="8">
        <v>324822.72000000003</v>
      </c>
      <c r="E18" s="8">
        <v>8977.4000000000233</v>
      </c>
      <c r="F18" s="35">
        <v>1.0276378450374408</v>
      </c>
      <c r="H18" s="9"/>
    </row>
    <row r="19" spans="1:8" x14ac:dyDescent="0.35">
      <c r="A19" t="e">
        <f>VLOOKUP(B19,#REF!,2,FALSE)</f>
        <v>#REF!</v>
      </c>
      <c r="B19" s="5" t="s">
        <v>265</v>
      </c>
      <c r="C19" s="7">
        <v>0</v>
      </c>
      <c r="D19" s="7">
        <v>0</v>
      </c>
      <c r="E19" s="7">
        <v>0</v>
      </c>
      <c r="F19" s="34" t="s">
        <v>112</v>
      </c>
      <c r="H19" s="9"/>
    </row>
    <row r="20" spans="1:8" x14ac:dyDescent="0.35">
      <c r="A20" t="e">
        <f>VLOOKUP(B20,#REF!,2,FALSE)</f>
        <v>#REF!</v>
      </c>
      <c r="B20" s="5" t="s">
        <v>266</v>
      </c>
      <c r="C20" s="7">
        <v>0</v>
      </c>
      <c r="D20" s="7">
        <v>0</v>
      </c>
      <c r="E20" s="7">
        <v>0</v>
      </c>
      <c r="F20" s="34" t="s">
        <v>112</v>
      </c>
      <c r="H20" s="9"/>
    </row>
    <row r="21" spans="1:8" x14ac:dyDescent="0.35">
      <c r="A21" t="e">
        <f>VLOOKUP(B21,#REF!,2,FALSE)</f>
        <v>#REF!</v>
      </c>
      <c r="B21" s="5" t="s">
        <v>267</v>
      </c>
      <c r="C21" s="7">
        <v>0</v>
      </c>
      <c r="D21" s="7">
        <v>0</v>
      </c>
      <c r="E21" s="7">
        <v>0</v>
      </c>
      <c r="F21" s="34" t="s">
        <v>112</v>
      </c>
      <c r="H21" s="10"/>
    </row>
    <row r="22" spans="1:8" x14ac:dyDescent="0.35">
      <c r="A22" t="e">
        <f>VLOOKUP(B22,#REF!,2,FALSE)</f>
        <v>#REF!</v>
      </c>
      <c r="B22" s="5" t="s">
        <v>268</v>
      </c>
      <c r="C22" s="7">
        <v>0</v>
      </c>
      <c r="D22" s="7">
        <v>0</v>
      </c>
      <c r="E22" s="7">
        <v>0</v>
      </c>
      <c r="F22" s="34" t="s">
        <v>112</v>
      </c>
      <c r="H22" s="9"/>
    </row>
    <row r="23" spans="1:8" x14ac:dyDescent="0.35">
      <c r="A23" t="e">
        <f>VLOOKUP(B23,#REF!,2,FALSE)</f>
        <v>#REF!</v>
      </c>
      <c r="B23" s="5" t="s">
        <v>269</v>
      </c>
      <c r="C23" s="8">
        <v>0</v>
      </c>
      <c r="D23" s="8">
        <v>0</v>
      </c>
      <c r="E23" s="8">
        <v>0</v>
      </c>
      <c r="F23" s="35" t="s">
        <v>112</v>
      </c>
      <c r="H23" s="9"/>
    </row>
    <row r="24" spans="1:8" x14ac:dyDescent="0.35">
      <c r="A24" t="e">
        <f>VLOOKUP(B24,#REF!,2,FALSE)</f>
        <v>#REF!</v>
      </c>
      <c r="B24" s="5" t="s">
        <v>270</v>
      </c>
      <c r="C24" s="7">
        <v>0</v>
      </c>
      <c r="D24" s="7">
        <v>0</v>
      </c>
      <c r="E24" s="7">
        <v>0</v>
      </c>
      <c r="F24" s="34" t="s">
        <v>112</v>
      </c>
      <c r="H24" s="9"/>
    </row>
    <row r="25" spans="1:8" x14ac:dyDescent="0.35">
      <c r="A25" t="e">
        <f>VLOOKUP(B25,#REF!,2,FALSE)</f>
        <v>#REF!</v>
      </c>
      <c r="B25" s="5" t="s">
        <v>271</v>
      </c>
      <c r="C25" s="7">
        <v>69030.899999999994</v>
      </c>
      <c r="D25" s="7">
        <v>60484.68</v>
      </c>
      <c r="E25" s="7">
        <v>8546.2199999999939</v>
      </c>
      <c r="F25" s="34">
        <v>1.1412956140298667</v>
      </c>
      <c r="H25" s="9"/>
    </row>
    <row r="26" spans="1:8" x14ac:dyDescent="0.35">
      <c r="A26" t="e">
        <f>VLOOKUP(B26,#REF!,2,FALSE)</f>
        <v>#REF!</v>
      </c>
      <c r="B26" s="5" t="s">
        <v>386</v>
      </c>
      <c r="C26" s="7">
        <v>0</v>
      </c>
      <c r="D26" s="7">
        <v>1000</v>
      </c>
      <c r="E26" s="7">
        <v>-1000</v>
      </c>
      <c r="F26" s="34">
        <v>0</v>
      </c>
      <c r="H26" s="9"/>
    </row>
    <row r="27" spans="1:8" x14ac:dyDescent="0.35">
      <c r="A27" t="e">
        <f>VLOOKUP(B27,#REF!,2,FALSE)</f>
        <v>#REF!</v>
      </c>
      <c r="B27" s="5" t="s">
        <v>272</v>
      </c>
      <c r="C27" s="8">
        <v>69030.899999999994</v>
      </c>
      <c r="D27" s="8">
        <v>61484.68</v>
      </c>
      <c r="E27" s="8">
        <v>7546.2199999999939</v>
      </c>
      <c r="F27" s="35">
        <v>1.1227333378005706</v>
      </c>
      <c r="H27" s="9"/>
    </row>
    <row r="28" spans="1:8" x14ac:dyDescent="0.35">
      <c r="A28" t="e">
        <f>VLOOKUP(B28,#REF!,2,FALSE)</f>
        <v>#REF!</v>
      </c>
      <c r="B28" s="5" t="s">
        <v>273</v>
      </c>
      <c r="C28" s="8">
        <v>69030.899999999994</v>
      </c>
      <c r="D28" s="8">
        <v>61484.68</v>
      </c>
      <c r="E28" s="8">
        <v>7546.2199999999939</v>
      </c>
      <c r="F28" s="35">
        <v>1.1227333378005706</v>
      </c>
      <c r="H28" s="9"/>
    </row>
    <row r="29" spans="1:8" x14ac:dyDescent="0.35">
      <c r="A29" t="e">
        <f>VLOOKUP(B29,#REF!,2,FALSE)</f>
        <v>#REF!</v>
      </c>
      <c r="B29" s="5" t="s">
        <v>274</v>
      </c>
      <c r="C29" s="7">
        <v>27975</v>
      </c>
      <c r="D29" s="7">
        <v>17500</v>
      </c>
      <c r="E29" s="7">
        <v>10475</v>
      </c>
      <c r="F29" s="34">
        <v>1.5985714285714285</v>
      </c>
      <c r="H29" s="9"/>
    </row>
    <row r="30" spans="1:8" x14ac:dyDescent="0.35">
      <c r="A30" t="e">
        <f>VLOOKUP(B30,#REF!,2,FALSE)</f>
        <v>#REF!</v>
      </c>
      <c r="B30" s="5" t="s">
        <v>275</v>
      </c>
      <c r="C30" s="7">
        <v>0</v>
      </c>
      <c r="D30" s="7">
        <v>0</v>
      </c>
      <c r="E30" s="7">
        <v>0</v>
      </c>
      <c r="F30" s="34" t="s">
        <v>112</v>
      </c>
      <c r="H30" s="9"/>
    </row>
    <row r="31" spans="1:8" x14ac:dyDescent="0.35">
      <c r="A31" t="e">
        <f>VLOOKUP(B31,#REF!,2,FALSE)</f>
        <v>#REF!</v>
      </c>
      <c r="B31" s="5" t="s">
        <v>276</v>
      </c>
      <c r="C31" s="7">
        <v>0</v>
      </c>
      <c r="D31" s="7">
        <v>100</v>
      </c>
      <c r="E31" s="7">
        <v>-100</v>
      </c>
      <c r="F31" s="34">
        <v>0</v>
      </c>
      <c r="H31" s="10"/>
    </row>
    <row r="32" spans="1:8" x14ac:dyDescent="0.35">
      <c r="A32" t="e">
        <f>VLOOKUP(B32,#REF!,2,FALSE)</f>
        <v>#REF!</v>
      </c>
      <c r="B32" s="5" t="s">
        <v>277</v>
      </c>
      <c r="C32" s="7">
        <v>163.4</v>
      </c>
      <c r="D32" s="7">
        <v>1166.6400000000001</v>
      </c>
      <c r="E32" s="7">
        <v>-1003.2400000000001</v>
      </c>
      <c r="F32" s="34">
        <v>0.14006034423643968</v>
      </c>
      <c r="H32" s="10"/>
    </row>
    <row r="33" spans="1:8" x14ac:dyDescent="0.35">
      <c r="A33" t="e">
        <f>VLOOKUP(B33,#REF!,2,FALSE)</f>
        <v>#REF!</v>
      </c>
      <c r="B33" s="5" t="s">
        <v>278</v>
      </c>
      <c r="C33" s="7">
        <v>877.27</v>
      </c>
      <c r="D33" s="7">
        <v>1000</v>
      </c>
      <c r="E33" s="7">
        <v>-122.73000000000002</v>
      </c>
      <c r="F33" s="34">
        <v>0.87726999999999999</v>
      </c>
      <c r="H33" s="9"/>
    </row>
    <row r="34" spans="1:8" x14ac:dyDescent="0.35">
      <c r="A34" t="e">
        <f>VLOOKUP(B34,#REF!,2,FALSE)</f>
        <v>#REF!</v>
      </c>
      <c r="B34" s="5" t="s">
        <v>279</v>
      </c>
      <c r="C34" s="7">
        <v>0</v>
      </c>
      <c r="D34" s="7">
        <v>0</v>
      </c>
      <c r="E34" s="7">
        <v>0</v>
      </c>
      <c r="F34" s="34" t="s">
        <v>112</v>
      </c>
      <c r="H34" s="10"/>
    </row>
    <row r="35" spans="1:8" x14ac:dyDescent="0.35">
      <c r="A35" t="e">
        <f>VLOOKUP(B35,#REF!,2,FALSE)</f>
        <v>#REF!</v>
      </c>
      <c r="B35" s="5" t="s">
        <v>280</v>
      </c>
      <c r="C35" s="7">
        <v>50</v>
      </c>
      <c r="D35" s="7">
        <v>0</v>
      </c>
      <c r="E35" s="7">
        <v>50</v>
      </c>
      <c r="F35" s="34" t="s">
        <v>112</v>
      </c>
    </row>
    <row r="36" spans="1:8" x14ac:dyDescent="0.35">
      <c r="A36" t="e">
        <f>VLOOKUP(B36,#REF!,2,FALSE)</f>
        <v>#REF!</v>
      </c>
      <c r="B36" s="5" t="s">
        <v>281</v>
      </c>
      <c r="C36" s="8">
        <v>1090.67</v>
      </c>
      <c r="D36" s="8">
        <v>2266.6400000000003</v>
      </c>
      <c r="E36" s="8">
        <v>-1175.9700000000003</v>
      </c>
      <c r="F36" s="35">
        <v>0.48118360216002537</v>
      </c>
    </row>
    <row r="37" spans="1:8" x14ac:dyDescent="0.35">
      <c r="A37" t="e">
        <f>VLOOKUP(B37,#REF!,2,FALSE)</f>
        <v>#REF!</v>
      </c>
      <c r="B37" s="5" t="s">
        <v>138</v>
      </c>
      <c r="C37" s="8">
        <v>431896.69000000006</v>
      </c>
      <c r="D37" s="8">
        <v>406074.04000000004</v>
      </c>
      <c r="E37" s="8">
        <v>25822.650000000023</v>
      </c>
      <c r="F37" s="35">
        <v>1.0635909894658619</v>
      </c>
    </row>
    <row r="38" spans="1:8" x14ac:dyDescent="0.35">
      <c r="A38" t="e">
        <f>VLOOKUP(B38,#REF!,2,FALSE)</f>
        <v>#REF!</v>
      </c>
      <c r="B38" s="5" t="s">
        <v>8</v>
      </c>
      <c r="C38" s="8">
        <v>431896.69000000006</v>
      </c>
      <c r="D38" s="8">
        <v>406074.04000000004</v>
      </c>
      <c r="E38" s="8">
        <v>25822.650000000023</v>
      </c>
      <c r="F38" s="35">
        <v>1.0635909894658619</v>
      </c>
    </row>
    <row r="39" spans="1:8" x14ac:dyDescent="0.35">
      <c r="A39" t="e">
        <f>VLOOKUP(B39,#REF!,2,FALSE)</f>
        <v>#REF!</v>
      </c>
      <c r="B39" s="5" t="s">
        <v>139</v>
      </c>
      <c r="C39" s="6"/>
      <c r="D39" s="6"/>
      <c r="E39" s="6"/>
      <c r="F39" s="6"/>
    </row>
    <row r="40" spans="1:8" x14ac:dyDescent="0.35">
      <c r="A40" t="e">
        <f>VLOOKUP(B40,#REF!,2,FALSE)</f>
        <v>#REF!</v>
      </c>
      <c r="B40" s="5" t="s">
        <v>282</v>
      </c>
      <c r="C40" s="7">
        <v>0</v>
      </c>
      <c r="D40" s="7">
        <v>0</v>
      </c>
      <c r="E40" s="7">
        <v>0</v>
      </c>
      <c r="F40" s="34" t="s">
        <v>112</v>
      </c>
    </row>
    <row r="41" spans="1:8" x14ac:dyDescent="0.35">
      <c r="A41" t="e">
        <f>VLOOKUP(B41,#REF!,2,FALSE)</f>
        <v>#REF!</v>
      </c>
      <c r="B41" s="5" t="s">
        <v>283</v>
      </c>
      <c r="C41" s="7">
        <v>964.27</v>
      </c>
      <c r="D41" s="7">
        <v>0</v>
      </c>
      <c r="E41" s="7">
        <v>964.27</v>
      </c>
      <c r="F41" s="34" t="s">
        <v>112</v>
      </c>
    </row>
    <row r="42" spans="1:8" x14ac:dyDescent="0.35">
      <c r="A42" t="e">
        <f>VLOOKUP(B42,#REF!,2,FALSE)</f>
        <v>#REF!</v>
      </c>
      <c r="B42" s="5" t="s">
        <v>387</v>
      </c>
      <c r="C42" s="7">
        <v>10800</v>
      </c>
      <c r="D42" s="7">
        <v>10800</v>
      </c>
      <c r="E42" s="7">
        <v>0</v>
      </c>
      <c r="F42" s="34">
        <v>1</v>
      </c>
    </row>
    <row r="43" spans="1:8" x14ac:dyDescent="0.35">
      <c r="A43" t="e">
        <f>VLOOKUP(B43,#REF!,2,FALSE)</f>
        <v>#REF!</v>
      </c>
      <c r="B43" s="5" t="s">
        <v>284</v>
      </c>
      <c r="C43" s="7">
        <v>29533.08</v>
      </c>
      <c r="D43" s="7">
        <v>31553</v>
      </c>
      <c r="E43" s="7">
        <v>-2019.9199999999983</v>
      </c>
      <c r="F43" s="34">
        <v>0.93598326625043582</v>
      </c>
    </row>
    <row r="44" spans="1:8" x14ac:dyDescent="0.35">
      <c r="A44" t="e">
        <f>VLOOKUP(B44,#REF!,2,FALSE)</f>
        <v>#REF!</v>
      </c>
      <c r="B44" s="5" t="s">
        <v>285</v>
      </c>
      <c r="C44" s="8">
        <v>41297.35</v>
      </c>
      <c r="D44" s="8">
        <v>42353</v>
      </c>
      <c r="E44" s="8">
        <v>-1055.6500000000015</v>
      </c>
      <c r="F44" s="35">
        <v>0.97507496517365944</v>
      </c>
    </row>
    <row r="45" spans="1:8" x14ac:dyDescent="0.35">
      <c r="A45" t="e">
        <f>VLOOKUP(B45,#REF!,2,FALSE)</f>
        <v>#REF!</v>
      </c>
      <c r="B45" s="5" t="s">
        <v>286</v>
      </c>
      <c r="C45" s="7">
        <v>0</v>
      </c>
      <c r="D45" s="7">
        <v>0</v>
      </c>
      <c r="E45" s="7">
        <v>0</v>
      </c>
      <c r="F45" s="34" t="s">
        <v>112</v>
      </c>
    </row>
    <row r="46" spans="1:8" x14ac:dyDescent="0.35">
      <c r="A46" t="e">
        <f>VLOOKUP(B46,#REF!,2,FALSE)</f>
        <v>#REF!</v>
      </c>
      <c r="B46" s="5" t="s">
        <v>287</v>
      </c>
      <c r="C46" s="7">
        <v>240625.79</v>
      </c>
      <c r="D46" s="7">
        <v>252000</v>
      </c>
      <c r="E46" s="7">
        <v>-11374.209999999992</v>
      </c>
      <c r="F46" s="34">
        <v>0.95486424603174602</v>
      </c>
    </row>
    <row r="47" spans="1:8" x14ac:dyDescent="0.35">
      <c r="A47" t="e">
        <f>VLOOKUP(B47,#REF!,2,FALSE)</f>
        <v>#REF!</v>
      </c>
      <c r="B47" s="5" t="s">
        <v>288</v>
      </c>
      <c r="C47" s="7">
        <v>19218.07</v>
      </c>
      <c r="D47" s="7">
        <v>20385.36</v>
      </c>
      <c r="E47" s="7">
        <v>-1167.2900000000009</v>
      </c>
      <c r="F47" s="34">
        <v>0.94273880863521664</v>
      </c>
    </row>
    <row r="48" spans="1:8" x14ac:dyDescent="0.35">
      <c r="A48" t="e">
        <f>VLOOKUP(B48,#REF!,2,FALSE)</f>
        <v>#REF!</v>
      </c>
      <c r="B48" s="5" t="s">
        <v>289</v>
      </c>
      <c r="C48" s="7">
        <v>23830.92</v>
      </c>
      <c r="D48" s="7">
        <v>24107.360000000001</v>
      </c>
      <c r="E48" s="7">
        <v>-276.44000000000233</v>
      </c>
      <c r="F48" s="34">
        <v>0.98853296254753731</v>
      </c>
    </row>
    <row r="49" spans="1:7" x14ac:dyDescent="0.35">
      <c r="A49" t="e">
        <f>VLOOKUP(B49,#REF!,2,FALSE)</f>
        <v>#REF!</v>
      </c>
      <c r="B49" s="5" t="s">
        <v>290</v>
      </c>
      <c r="C49" s="7">
        <v>7284.16</v>
      </c>
      <c r="D49" s="7">
        <v>7560</v>
      </c>
      <c r="E49" s="7">
        <v>-275.84000000000015</v>
      </c>
      <c r="F49" s="34">
        <v>0.96351322751322754</v>
      </c>
    </row>
    <row r="50" spans="1:7" x14ac:dyDescent="0.35">
      <c r="A50" t="e">
        <f>VLOOKUP(B50,#REF!,2,FALSE)</f>
        <v>#REF!</v>
      </c>
      <c r="B50" s="5" t="s">
        <v>291</v>
      </c>
      <c r="C50" s="7">
        <v>2214.9899999999998</v>
      </c>
      <c r="D50" s="7">
        <v>1026.6400000000001</v>
      </c>
      <c r="E50" s="7">
        <v>1188.3499999999997</v>
      </c>
      <c r="F50" s="34">
        <v>2.1575138315280911</v>
      </c>
    </row>
    <row r="51" spans="1:7" x14ac:dyDescent="0.35">
      <c r="A51" t="e">
        <f>VLOOKUP(B51,#REF!,2,FALSE)</f>
        <v>#REF!</v>
      </c>
      <c r="B51" s="5" t="s">
        <v>292</v>
      </c>
      <c r="C51" s="8">
        <v>293173.93</v>
      </c>
      <c r="D51" s="8">
        <v>305079.36</v>
      </c>
      <c r="E51" s="8">
        <v>-11905.429999999993</v>
      </c>
      <c r="F51" s="35">
        <v>0.96097595720667572</v>
      </c>
    </row>
    <row r="52" spans="1:7" x14ac:dyDescent="0.35">
      <c r="A52" t="e">
        <f>VLOOKUP(B52,#REF!,2,FALSE)</f>
        <v>#REF!</v>
      </c>
      <c r="B52" s="5" t="s">
        <v>293</v>
      </c>
      <c r="C52" s="7">
        <v>0</v>
      </c>
      <c r="D52" s="7">
        <v>0</v>
      </c>
      <c r="E52" s="7">
        <v>0</v>
      </c>
      <c r="F52" s="34" t="s">
        <v>112</v>
      </c>
    </row>
    <row r="53" spans="1:7" x14ac:dyDescent="0.35">
      <c r="A53" t="e">
        <f>VLOOKUP(B53,#REF!,2,FALSE)</f>
        <v>#REF!</v>
      </c>
      <c r="B53" s="5" t="s">
        <v>388</v>
      </c>
      <c r="C53" s="7">
        <v>1275</v>
      </c>
      <c r="D53" s="7">
        <v>200</v>
      </c>
      <c r="E53" s="7">
        <v>1075</v>
      </c>
      <c r="F53" s="34">
        <v>6.375</v>
      </c>
    </row>
    <row r="54" spans="1:7" x14ac:dyDescent="0.35">
      <c r="A54" t="e">
        <f>VLOOKUP(B54,#REF!,2,FALSE)</f>
        <v>#REF!</v>
      </c>
      <c r="B54" s="5" t="s">
        <v>294</v>
      </c>
      <c r="C54" s="7">
        <v>53280</v>
      </c>
      <c r="D54" s="7">
        <v>53280</v>
      </c>
      <c r="E54" s="7">
        <v>0</v>
      </c>
      <c r="F54" s="34">
        <v>1</v>
      </c>
    </row>
    <row r="55" spans="1:7" x14ac:dyDescent="0.35">
      <c r="A55" t="e">
        <f>VLOOKUP(B55,#REF!,2,FALSE)</f>
        <v>#REF!</v>
      </c>
      <c r="B55" s="5" t="s">
        <v>295</v>
      </c>
      <c r="C55" s="7">
        <v>0</v>
      </c>
      <c r="D55" s="7">
        <v>333.36</v>
      </c>
      <c r="E55" s="7">
        <v>-333.36</v>
      </c>
      <c r="F55" s="34">
        <v>0</v>
      </c>
    </row>
    <row r="56" spans="1:7" x14ac:dyDescent="0.35">
      <c r="A56" t="e">
        <f>VLOOKUP(B56,#REF!,2,FALSE)</f>
        <v>#REF!</v>
      </c>
      <c r="B56" s="5" t="s">
        <v>296</v>
      </c>
      <c r="C56" s="7">
        <v>44543.23</v>
      </c>
      <c r="D56" s="7">
        <v>20346.64</v>
      </c>
      <c r="E56" s="7">
        <v>24196.590000000004</v>
      </c>
      <c r="F56" s="34">
        <v>2.1892179740733608</v>
      </c>
    </row>
    <row r="57" spans="1:7" x14ac:dyDescent="0.35">
      <c r="A57" t="e">
        <f>VLOOKUP(B57,#REF!,2,FALSE)</f>
        <v>#REF!</v>
      </c>
      <c r="B57" s="5" t="s">
        <v>297</v>
      </c>
      <c r="C57" s="7">
        <v>170</v>
      </c>
      <c r="D57" s="7">
        <v>680</v>
      </c>
      <c r="E57" s="7">
        <v>-510</v>
      </c>
      <c r="F57" s="34">
        <v>0.25</v>
      </c>
    </row>
    <row r="58" spans="1:7" x14ac:dyDescent="0.35">
      <c r="A58" t="e">
        <f>VLOOKUP(B58,#REF!,2,FALSE)</f>
        <v>#REF!</v>
      </c>
      <c r="B58" s="5" t="s">
        <v>298</v>
      </c>
      <c r="C58" s="8">
        <v>99268.23000000001</v>
      </c>
      <c r="D58" s="8">
        <v>74840</v>
      </c>
      <c r="E58" s="8">
        <v>24428.23000000001</v>
      </c>
      <c r="F58" s="35">
        <v>1.3264060662747195</v>
      </c>
    </row>
    <row r="59" spans="1:7" x14ac:dyDescent="0.35">
      <c r="A59" t="e">
        <f>VLOOKUP(B59,#REF!,2,FALSE)</f>
        <v>#REF!</v>
      </c>
      <c r="B59" s="5" t="s">
        <v>299</v>
      </c>
      <c r="C59" s="7">
        <v>0</v>
      </c>
      <c r="D59" s="7">
        <v>0</v>
      </c>
      <c r="E59" s="7">
        <v>0</v>
      </c>
      <c r="F59" s="34" t="s">
        <v>112</v>
      </c>
    </row>
    <row r="60" spans="1:7" x14ac:dyDescent="0.35">
      <c r="A60" t="e">
        <f>VLOOKUP(B60,#REF!,2,FALSE)</f>
        <v>#REF!</v>
      </c>
      <c r="B60" s="5" t="s">
        <v>300</v>
      </c>
      <c r="C60" s="7">
        <v>264.06</v>
      </c>
      <c r="D60" s="7">
        <v>320</v>
      </c>
      <c r="E60" s="7">
        <v>-55.94</v>
      </c>
      <c r="F60" s="34">
        <v>0.82518749999999996</v>
      </c>
    </row>
    <row r="61" spans="1:7" x14ac:dyDescent="0.35">
      <c r="A61" t="e">
        <f>VLOOKUP(B61,#REF!,2,FALSE)</f>
        <v>#REF!</v>
      </c>
      <c r="B61" s="5" t="s">
        <v>301</v>
      </c>
      <c r="C61" s="7">
        <v>2368.91</v>
      </c>
      <c r="D61" s="7">
        <v>1800</v>
      </c>
      <c r="E61" s="7">
        <v>568.90999999999985</v>
      </c>
      <c r="F61" s="34">
        <v>1.3160611111111111</v>
      </c>
    </row>
    <row r="62" spans="1:7" x14ac:dyDescent="0.35">
      <c r="A62" t="e">
        <f>VLOOKUP(B62,#REF!,2,FALSE)</f>
        <v>#REF!</v>
      </c>
      <c r="B62" s="5" t="s">
        <v>302</v>
      </c>
      <c r="C62" s="7">
        <v>0</v>
      </c>
      <c r="D62" s="7">
        <v>200</v>
      </c>
      <c r="E62" s="7">
        <v>-200</v>
      </c>
      <c r="F62" s="34">
        <v>0</v>
      </c>
    </row>
    <row r="63" spans="1:7" x14ac:dyDescent="0.35">
      <c r="A63" t="e">
        <f>VLOOKUP(B63,#REF!,2,FALSE)</f>
        <v>#REF!</v>
      </c>
      <c r="B63" s="5" t="s">
        <v>303</v>
      </c>
      <c r="C63" s="8">
        <v>2632.97</v>
      </c>
      <c r="D63" s="8">
        <v>2320</v>
      </c>
      <c r="E63" s="8">
        <v>312.9699999999998</v>
      </c>
      <c r="F63" s="35">
        <v>1.1349008620689653</v>
      </c>
    </row>
    <row r="64" spans="1:7" x14ac:dyDescent="0.35">
      <c r="A64" t="e">
        <f>VLOOKUP(B64,#REF!,2,FALSE)</f>
        <v>#REF!</v>
      </c>
      <c r="B64" s="5" t="s">
        <v>304</v>
      </c>
      <c r="C64" s="7">
        <v>0</v>
      </c>
      <c r="D64" s="7">
        <v>0</v>
      </c>
      <c r="E64" s="7">
        <v>0</v>
      </c>
      <c r="F64" s="34" t="s">
        <v>112</v>
      </c>
      <c r="G64" s="14"/>
    </row>
    <row r="65" spans="1:7" x14ac:dyDescent="0.35">
      <c r="A65" t="e">
        <f>VLOOKUP(B65,#REF!,2,FALSE)</f>
        <v>#REF!</v>
      </c>
      <c r="B65" s="5" t="s">
        <v>305</v>
      </c>
      <c r="C65" s="7">
        <v>0</v>
      </c>
      <c r="D65" s="7">
        <v>0</v>
      </c>
      <c r="E65" s="7">
        <v>0</v>
      </c>
      <c r="F65" s="34" t="s">
        <v>112</v>
      </c>
    </row>
    <row r="66" spans="1:7" x14ac:dyDescent="0.35">
      <c r="A66" t="e">
        <f>VLOOKUP(B66,#REF!,2,FALSE)</f>
        <v>#REF!</v>
      </c>
      <c r="B66" s="5" t="s">
        <v>306</v>
      </c>
      <c r="C66" s="7">
        <v>5016.9799999999996</v>
      </c>
      <c r="D66" s="7">
        <v>6549.36</v>
      </c>
      <c r="E66" s="7">
        <v>-1532.38</v>
      </c>
      <c r="F66" s="34">
        <v>0.76602599337950572</v>
      </c>
    </row>
    <row r="67" spans="1:7" x14ac:dyDescent="0.35">
      <c r="A67" t="e">
        <f>VLOOKUP(B67,#REF!,2,FALSE)</f>
        <v>#REF!</v>
      </c>
      <c r="B67" s="5" t="s">
        <v>307</v>
      </c>
      <c r="C67" s="7">
        <v>2185.48</v>
      </c>
      <c r="D67" s="7">
        <v>2135.36</v>
      </c>
      <c r="E67" s="7">
        <v>50.119999999999891</v>
      </c>
      <c r="F67" s="34">
        <v>1.0234714521204855</v>
      </c>
    </row>
    <row r="68" spans="1:7" x14ac:dyDescent="0.35">
      <c r="A68" t="e">
        <f>VLOOKUP(B68,#REF!,2,FALSE)</f>
        <v>#REF!</v>
      </c>
      <c r="B68" s="5" t="s">
        <v>308</v>
      </c>
      <c r="C68" s="7">
        <v>1682</v>
      </c>
      <c r="D68" s="7">
        <v>3800</v>
      </c>
      <c r="E68" s="7">
        <v>-2118</v>
      </c>
      <c r="F68" s="34">
        <v>0.44263157894736843</v>
      </c>
    </row>
    <row r="69" spans="1:7" x14ac:dyDescent="0.35">
      <c r="A69" t="e">
        <f>VLOOKUP(B69,#REF!,2,FALSE)</f>
        <v>#REF!</v>
      </c>
      <c r="B69" s="5" t="s">
        <v>309</v>
      </c>
      <c r="C69" s="7">
        <v>2985</v>
      </c>
      <c r="D69" s="7">
        <v>2925</v>
      </c>
      <c r="E69" s="7">
        <v>60</v>
      </c>
      <c r="F69" s="34">
        <v>1.0205128205128204</v>
      </c>
    </row>
    <row r="70" spans="1:7" x14ac:dyDescent="0.35">
      <c r="A70" t="e">
        <f>VLOOKUP(B70,#REF!,2,FALSE)</f>
        <v>#REF!</v>
      </c>
      <c r="B70" s="5" t="s">
        <v>310</v>
      </c>
      <c r="C70" s="7">
        <v>0</v>
      </c>
      <c r="D70" s="7">
        <v>400</v>
      </c>
      <c r="E70" s="7">
        <v>-400</v>
      </c>
      <c r="F70" s="34">
        <v>0</v>
      </c>
    </row>
    <row r="71" spans="1:7" x14ac:dyDescent="0.35">
      <c r="A71" t="e">
        <f>VLOOKUP(B71,#REF!,2,FALSE)</f>
        <v>#REF!</v>
      </c>
      <c r="B71" s="5" t="s">
        <v>311</v>
      </c>
      <c r="C71" s="7">
        <v>2301.12</v>
      </c>
      <c r="D71" s="7">
        <v>1333.36</v>
      </c>
      <c r="E71" s="7">
        <v>967.76</v>
      </c>
      <c r="F71" s="34">
        <v>1.7258054838903223</v>
      </c>
      <c r="G71" s="13"/>
    </row>
    <row r="72" spans="1:7" x14ac:dyDescent="0.35">
      <c r="A72" t="e">
        <f>VLOOKUP(B72,#REF!,2,FALSE)</f>
        <v>#REF!</v>
      </c>
      <c r="B72" s="5" t="s">
        <v>312</v>
      </c>
      <c r="C72" s="7">
        <v>4989.57</v>
      </c>
      <c r="D72" s="7">
        <v>7199.92</v>
      </c>
      <c r="E72" s="7">
        <v>-2210.3500000000004</v>
      </c>
      <c r="F72" s="34">
        <v>0.69300353337259302</v>
      </c>
    </row>
    <row r="73" spans="1:7" x14ac:dyDescent="0.35">
      <c r="A73" t="e">
        <f>VLOOKUP(B73,#REF!,2,FALSE)</f>
        <v>#REF!</v>
      </c>
      <c r="B73" s="5" t="s">
        <v>313</v>
      </c>
      <c r="C73" s="7">
        <v>0</v>
      </c>
      <c r="D73" s="7">
        <v>2000</v>
      </c>
      <c r="E73" s="7">
        <v>-2000</v>
      </c>
      <c r="F73" s="34">
        <v>0</v>
      </c>
    </row>
    <row r="74" spans="1:7" x14ac:dyDescent="0.35">
      <c r="A74" t="e">
        <f>VLOOKUP(B74,#REF!,2,FALSE)</f>
        <v>#REF!</v>
      </c>
      <c r="B74" s="5" t="s">
        <v>314</v>
      </c>
      <c r="C74" s="7">
        <v>12204.06</v>
      </c>
      <c r="D74" s="7">
        <v>10825.64</v>
      </c>
      <c r="E74" s="7">
        <v>1378.42</v>
      </c>
      <c r="F74" s="34">
        <v>1.1273291925465838</v>
      </c>
    </row>
    <row r="75" spans="1:7" x14ac:dyDescent="0.35">
      <c r="A75" t="e">
        <f>VLOOKUP(B75,#REF!,2,FALSE)</f>
        <v>#REF!</v>
      </c>
      <c r="B75" s="5" t="s">
        <v>315</v>
      </c>
      <c r="C75" s="7">
        <v>593.71</v>
      </c>
      <c r="D75" s="7">
        <v>676.64</v>
      </c>
      <c r="E75" s="7">
        <v>-82.92999999999995</v>
      </c>
      <c r="F75" s="34">
        <v>0.8774385197446205</v>
      </c>
    </row>
    <row r="76" spans="1:7" x14ac:dyDescent="0.35">
      <c r="A76" t="e">
        <f>VLOOKUP(B76,#REF!,2,FALSE)</f>
        <v>#REF!</v>
      </c>
      <c r="B76" s="5" t="s">
        <v>316</v>
      </c>
      <c r="C76" s="7">
        <v>895.81</v>
      </c>
      <c r="D76" s="7">
        <v>2819.92</v>
      </c>
      <c r="E76" s="7">
        <v>-1924.1100000000001</v>
      </c>
      <c r="F76" s="34">
        <v>0.31767213254276716</v>
      </c>
    </row>
    <row r="77" spans="1:7" x14ac:dyDescent="0.35">
      <c r="A77" t="e">
        <f>VLOOKUP(B77,#REF!,2,FALSE)</f>
        <v>#REF!</v>
      </c>
      <c r="B77" s="5" t="s">
        <v>317</v>
      </c>
      <c r="C77" s="7">
        <v>69.13</v>
      </c>
      <c r="D77" s="7">
        <v>346</v>
      </c>
      <c r="E77" s="7">
        <v>-276.87</v>
      </c>
      <c r="F77" s="34">
        <v>0.19979768786127167</v>
      </c>
    </row>
    <row r="78" spans="1:7" x14ac:dyDescent="0.35">
      <c r="A78" t="e">
        <f>VLOOKUP(B78,#REF!,2,FALSE)</f>
        <v>#REF!</v>
      </c>
      <c r="B78" s="5" t="s">
        <v>318</v>
      </c>
      <c r="C78" s="7">
        <v>0</v>
      </c>
      <c r="D78" s="7">
        <v>275</v>
      </c>
      <c r="E78" s="7">
        <v>-275</v>
      </c>
      <c r="F78" s="34">
        <v>0</v>
      </c>
    </row>
    <row r="79" spans="1:7" x14ac:dyDescent="0.35">
      <c r="A79" t="e">
        <f>VLOOKUP(B79,#REF!,2,FALSE)</f>
        <v>#REF!</v>
      </c>
      <c r="B79" s="5" t="s">
        <v>391</v>
      </c>
      <c r="C79" s="7">
        <v>1336.5</v>
      </c>
      <c r="D79" s="7">
        <v>0</v>
      </c>
      <c r="E79" s="7">
        <v>1336.5</v>
      </c>
      <c r="F79" s="34" t="s">
        <v>112</v>
      </c>
    </row>
    <row r="80" spans="1:7" x14ac:dyDescent="0.35">
      <c r="A80" t="e">
        <f>VLOOKUP(B80,#REF!,2,FALSE)</f>
        <v>#REF!</v>
      </c>
      <c r="B80" s="5" t="s">
        <v>319</v>
      </c>
      <c r="C80" s="7">
        <v>8215.36</v>
      </c>
      <c r="D80" s="7">
        <v>8533.2800000000007</v>
      </c>
      <c r="E80" s="7">
        <v>-317.92000000000007</v>
      </c>
      <c r="F80" s="34">
        <v>0.96274351714698214</v>
      </c>
    </row>
    <row r="81" spans="1:6" x14ac:dyDescent="0.35">
      <c r="A81" t="e">
        <f>VLOOKUP(B81,#REF!,2,FALSE)</f>
        <v>#REF!</v>
      </c>
      <c r="B81" s="5" t="s">
        <v>320</v>
      </c>
      <c r="C81" s="8">
        <v>42474.720000000001</v>
      </c>
      <c r="D81" s="8">
        <v>49819.479999999996</v>
      </c>
      <c r="E81" s="8">
        <v>-7344.7599999999948</v>
      </c>
      <c r="F81" s="35">
        <v>0.85257252785456616</v>
      </c>
    </row>
    <row r="82" spans="1:6" x14ac:dyDescent="0.35">
      <c r="A82" t="e">
        <f>VLOOKUP(B82,#REF!,2,FALSE)</f>
        <v>#REF!</v>
      </c>
      <c r="B82" s="5" t="s">
        <v>140</v>
      </c>
      <c r="C82" s="8">
        <v>478847.2</v>
      </c>
      <c r="D82" s="8">
        <v>474411.83999999997</v>
      </c>
      <c r="E82" s="8">
        <v>4435.3600000000442</v>
      </c>
      <c r="F82" s="35">
        <v>1.009349176445512</v>
      </c>
    </row>
    <row r="83" spans="1:6" x14ac:dyDescent="0.35">
      <c r="A83" t="e">
        <f>VLOOKUP(B83,#REF!,2,FALSE)</f>
        <v>#REF!</v>
      </c>
      <c r="B83" s="5" t="s">
        <v>141</v>
      </c>
      <c r="C83" s="8">
        <v>-46950.509999999951</v>
      </c>
      <c r="D83" s="8">
        <v>-68337.79999999993</v>
      </c>
      <c r="E83" s="8">
        <v>21387.289999999979</v>
      </c>
      <c r="F83" s="35">
        <v>0.68703572546965219</v>
      </c>
    </row>
    <row r="84" spans="1:6" x14ac:dyDescent="0.35">
      <c r="A84" t="e">
        <f>VLOOKUP(B84,#REF!,2,FALSE)</f>
        <v>#REF!</v>
      </c>
      <c r="B84" s="5" t="s">
        <v>142</v>
      </c>
      <c r="C84" s="6"/>
      <c r="D84" s="6"/>
      <c r="E84" s="6"/>
      <c r="F84" s="6"/>
    </row>
    <row r="85" spans="1:6" x14ac:dyDescent="0.35">
      <c r="A85" t="e">
        <f>VLOOKUP(B85,#REF!,2,FALSE)</f>
        <v>#REF!</v>
      </c>
      <c r="B85" s="5" t="s">
        <v>321</v>
      </c>
      <c r="C85" s="7">
        <v>0</v>
      </c>
      <c r="D85" s="7">
        <v>0</v>
      </c>
      <c r="E85" s="7">
        <v>0</v>
      </c>
      <c r="F85" s="34" t="s">
        <v>112</v>
      </c>
    </row>
    <row r="86" spans="1:6" x14ac:dyDescent="0.35">
      <c r="A86" t="e">
        <f>VLOOKUP(B86,#REF!,2,FALSE)</f>
        <v>#REF!</v>
      </c>
      <c r="B86" s="5" t="s">
        <v>322</v>
      </c>
      <c r="C86" s="7">
        <v>5871.51</v>
      </c>
      <c r="D86" s="7">
        <v>0</v>
      </c>
      <c r="E86" s="7">
        <v>5871.51</v>
      </c>
      <c r="F86" s="34" t="s">
        <v>112</v>
      </c>
    </row>
    <row r="87" spans="1:6" x14ac:dyDescent="0.35">
      <c r="A87" t="e">
        <f>VLOOKUP(B87,#REF!,2,FALSE)</f>
        <v>#REF!</v>
      </c>
      <c r="B87" s="5" t="s">
        <v>323</v>
      </c>
      <c r="C87" s="7">
        <v>69084.160000000003</v>
      </c>
      <c r="D87" s="7">
        <v>0</v>
      </c>
      <c r="E87" s="7">
        <v>69084.160000000003</v>
      </c>
      <c r="F87" s="34" t="s">
        <v>112</v>
      </c>
    </row>
    <row r="88" spans="1:6" x14ac:dyDescent="0.35">
      <c r="A88" t="e">
        <f>VLOOKUP(B88,#REF!,2,FALSE)</f>
        <v>#REF!</v>
      </c>
      <c r="B88" s="5" t="s">
        <v>324</v>
      </c>
      <c r="C88" s="7">
        <v>0</v>
      </c>
      <c r="D88" s="7">
        <v>15000</v>
      </c>
      <c r="E88" s="7">
        <v>-15000</v>
      </c>
      <c r="F88" s="34">
        <v>0</v>
      </c>
    </row>
    <row r="89" spans="1:6" x14ac:dyDescent="0.35">
      <c r="A89" t="e">
        <f>VLOOKUP(B89,#REF!,2,FALSE)</f>
        <v>#REF!</v>
      </c>
      <c r="B89" s="5" t="s">
        <v>144</v>
      </c>
      <c r="C89" s="8">
        <v>74955.67</v>
      </c>
      <c r="D89" s="8">
        <v>15000</v>
      </c>
      <c r="E89" s="8">
        <v>59955.67</v>
      </c>
      <c r="F89" s="35">
        <v>4.9970446666666666</v>
      </c>
    </row>
    <row r="90" spans="1:6" x14ac:dyDescent="0.35">
      <c r="A90" t="e">
        <f>VLOOKUP(B90,#REF!,2,FALSE)</f>
        <v>#REF!</v>
      </c>
      <c r="B90" s="5" t="s">
        <v>145</v>
      </c>
      <c r="C90" s="6"/>
      <c r="D90" s="6"/>
      <c r="E90" s="6"/>
      <c r="F90" s="6"/>
    </row>
    <row r="91" spans="1:6" x14ac:dyDescent="0.35">
      <c r="A91" t="e">
        <f>VLOOKUP(B91,#REF!,2,FALSE)</f>
        <v>#REF!</v>
      </c>
      <c r="B91" s="5" t="s">
        <v>325</v>
      </c>
      <c r="C91" s="7">
        <v>3858.19</v>
      </c>
      <c r="D91" s="7">
        <v>0</v>
      </c>
      <c r="E91" s="7">
        <v>3858.19</v>
      </c>
      <c r="F91" s="34" t="s">
        <v>112</v>
      </c>
    </row>
    <row r="92" spans="1:6" x14ac:dyDescent="0.35">
      <c r="A92" t="e">
        <f>VLOOKUP(B92,#REF!,2,FALSE)</f>
        <v>#REF!</v>
      </c>
      <c r="B92" s="5" t="s">
        <v>326</v>
      </c>
      <c r="C92" s="7">
        <v>0</v>
      </c>
      <c r="D92" s="7">
        <v>0</v>
      </c>
      <c r="E92" s="7">
        <v>0</v>
      </c>
      <c r="F92" s="34" t="s">
        <v>112</v>
      </c>
    </row>
    <row r="93" spans="1:6" x14ac:dyDescent="0.35">
      <c r="A93" t="e">
        <f>VLOOKUP(B93,#REF!,2,FALSE)</f>
        <v>#REF!</v>
      </c>
      <c r="B93" s="5" t="s">
        <v>146</v>
      </c>
      <c r="C93" s="8">
        <v>3858.19</v>
      </c>
      <c r="D93" s="8">
        <v>0</v>
      </c>
      <c r="E93" s="8">
        <v>3858.19</v>
      </c>
      <c r="F93" s="35" t="s">
        <v>112</v>
      </c>
    </row>
    <row r="94" spans="1:6" x14ac:dyDescent="0.35">
      <c r="A94" t="e">
        <f>VLOOKUP(B94,#REF!,2,FALSE)</f>
        <v>#REF!</v>
      </c>
      <c r="B94" s="5" t="s">
        <v>147</v>
      </c>
      <c r="C94" s="8">
        <v>71097.48</v>
      </c>
      <c r="D94" s="8">
        <v>15000</v>
      </c>
      <c r="E94" s="8">
        <v>56097.479999999996</v>
      </c>
      <c r="F94" s="35">
        <v>4.7398319999999998</v>
      </c>
    </row>
    <row r="95" spans="1:6" x14ac:dyDescent="0.35">
      <c r="A95" t="e">
        <f>VLOOKUP(B95,#REF!,2,FALSE)</f>
        <v>#REF!</v>
      </c>
      <c r="B95" s="5" t="s">
        <v>148</v>
      </c>
      <c r="C95" s="8">
        <v>24146.97000000003</v>
      </c>
      <c r="D95" s="8">
        <v>-53337.79999999993</v>
      </c>
      <c r="E95" s="8">
        <v>77484.76999999996</v>
      </c>
      <c r="F95" s="35">
        <v>-0.4527177723865638</v>
      </c>
    </row>
    <row r="96" spans="1:6" x14ac:dyDescent="0.35">
      <c r="A96" t="e">
        <f>VLOOKUP(B96,#REF!,2,FALSE)</f>
        <v>#REF!</v>
      </c>
    </row>
    <row r="97" spans="1:1" x14ac:dyDescent="0.35">
      <c r="A97" t="e">
        <f>VLOOKUP(B97,#REF!,2,FALSE)</f>
        <v>#REF!</v>
      </c>
    </row>
    <row r="98" spans="1:1" x14ac:dyDescent="0.35">
      <c r="A98" t="e">
        <f>VLOOKUP(B98,#REF!,2,FALSE)</f>
        <v>#REF!</v>
      </c>
    </row>
    <row r="99" spans="1:1" x14ac:dyDescent="0.35">
      <c r="A99" t="e">
        <f>VLOOKUP(B99,#REF!,2,FALSE)</f>
        <v>#REF!</v>
      </c>
    </row>
    <row r="100" spans="1:1" x14ac:dyDescent="0.35">
      <c r="A100" t="e">
        <f>VLOOKUP(B100,#REF!,2,FALSE)</f>
        <v>#REF!</v>
      </c>
    </row>
  </sheetData>
  <mergeCells count="4">
    <mergeCell ref="C5:F5"/>
    <mergeCell ref="B1:F1"/>
    <mergeCell ref="B2:F2"/>
    <mergeCell ref="B3:F3"/>
  </mergeCells>
  <conditionalFormatting sqref="E1:E2 E4:E31 E33:E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9FF2E-5F18-4104-A132-F50282E81BC9}">
  <sheetPr>
    <tabColor theme="9" tint="0.59999389629810485"/>
  </sheetPr>
  <dimension ref="A1:J100"/>
  <sheetViews>
    <sheetView topLeftCell="B84" workbookViewId="0">
      <selection activeCell="E98" sqref="E98"/>
    </sheetView>
  </sheetViews>
  <sheetFormatPr defaultRowHeight="14.5" outlineLevelCol="1" x14ac:dyDescent="0.35"/>
  <cols>
    <col min="1" max="1" width="19.26953125" hidden="1" customWidth="1" outlineLevel="1"/>
    <col min="2" max="2" width="47.26953125" customWidth="1" collapsed="1"/>
    <col min="3" max="3" width="16.81640625" style="3" customWidth="1"/>
    <col min="4" max="4" width="16.81640625" customWidth="1"/>
    <col min="5" max="5" width="41.7265625" bestFit="1" customWidth="1"/>
  </cols>
  <sheetData>
    <row r="1" spans="1:10" ht="18" x14ac:dyDescent="0.4">
      <c r="B1" s="40" t="s">
        <v>136</v>
      </c>
      <c r="C1" s="39"/>
      <c r="D1" s="39"/>
    </row>
    <row r="2" spans="1:10" ht="18" x14ac:dyDescent="0.4">
      <c r="B2" s="40" t="s">
        <v>156</v>
      </c>
      <c r="C2" s="39"/>
      <c r="D2" s="39"/>
    </row>
    <row r="3" spans="1:10" x14ac:dyDescent="0.35">
      <c r="B3" s="42" t="s">
        <v>393</v>
      </c>
      <c r="C3" s="39"/>
      <c r="D3" s="39"/>
    </row>
    <row r="4" spans="1:10" x14ac:dyDescent="0.35">
      <c r="C4"/>
    </row>
    <row r="5" spans="1:10" x14ac:dyDescent="0.35">
      <c r="B5" s="1"/>
      <c r="C5" s="43" t="s">
        <v>2</v>
      </c>
      <c r="D5" s="37"/>
    </row>
    <row r="6" spans="1:10" ht="24" x14ac:dyDescent="0.35">
      <c r="B6" s="1"/>
      <c r="C6" s="12" t="s">
        <v>394</v>
      </c>
      <c r="D6" s="12" t="s">
        <v>395</v>
      </c>
      <c r="E6" s="11" t="s">
        <v>121</v>
      </c>
    </row>
    <row r="7" spans="1:10" x14ac:dyDescent="0.35">
      <c r="A7" t="e">
        <f>VLOOKUP(B7,#REF!,2,FALSE)</f>
        <v>#REF!</v>
      </c>
      <c r="B7" s="5" t="s">
        <v>13</v>
      </c>
      <c r="C7" s="6"/>
      <c r="D7" s="6"/>
    </row>
    <row r="8" spans="1:10" x14ac:dyDescent="0.35">
      <c r="A8" t="e">
        <f>VLOOKUP(B8,#REF!,2,FALSE)</f>
        <v>#REF!</v>
      </c>
      <c r="B8" s="5" t="s">
        <v>14</v>
      </c>
      <c r="C8" s="6"/>
      <c r="D8" s="6"/>
    </row>
    <row r="9" spans="1:10" x14ac:dyDescent="0.35">
      <c r="A9" t="e">
        <f>VLOOKUP(B9,#REF!,2,FALSE)</f>
        <v>#REF!</v>
      </c>
      <c r="B9" s="5" t="s">
        <v>15</v>
      </c>
      <c r="C9" s="6"/>
      <c r="D9" s="6"/>
    </row>
    <row r="10" spans="1:10" x14ac:dyDescent="0.35">
      <c r="A10" t="e">
        <f>VLOOKUP(B10,#REF!,2,FALSE)</f>
        <v>#REF!</v>
      </c>
      <c r="B10" s="5" t="s">
        <v>327</v>
      </c>
      <c r="C10" s="7">
        <f>0</f>
        <v>0</v>
      </c>
      <c r="D10" s="7">
        <f>0</f>
        <v>0</v>
      </c>
    </row>
    <row r="11" spans="1:10" x14ac:dyDescent="0.35">
      <c r="A11" t="e">
        <f>VLOOKUP(B11,#REF!,2,FALSE)</f>
        <v>#REF!</v>
      </c>
      <c r="B11" s="5" t="s">
        <v>328</v>
      </c>
      <c r="C11" s="7">
        <f>2727.59</f>
        <v>2727.59</v>
      </c>
      <c r="D11" s="7">
        <f>10764.72</f>
        <v>10764.72</v>
      </c>
    </row>
    <row r="12" spans="1:10" x14ac:dyDescent="0.35">
      <c r="A12" t="e">
        <f>VLOOKUP(B12,#REF!,2,FALSE)</f>
        <v>#REF!</v>
      </c>
      <c r="B12" s="5" t="s">
        <v>329</v>
      </c>
      <c r="C12" s="7">
        <f>96390.19</f>
        <v>96390.19</v>
      </c>
      <c r="D12" s="7">
        <f>151581.41</f>
        <v>151581.41</v>
      </c>
    </row>
    <row r="13" spans="1:10" x14ac:dyDescent="0.35">
      <c r="A13" t="e">
        <f>VLOOKUP(B13,#REF!,2,FALSE)</f>
        <v>#REF!</v>
      </c>
      <c r="B13" s="5" t="s">
        <v>16</v>
      </c>
      <c r="C13" s="8">
        <f>((C10)+(C11))+(C12)</f>
        <v>99117.78</v>
      </c>
      <c r="D13" s="8">
        <f>((D10)+(D11))+(D12)</f>
        <v>162346.13</v>
      </c>
    </row>
    <row r="14" spans="1:10" x14ac:dyDescent="0.35">
      <c r="A14" t="e">
        <f>VLOOKUP(B14,#REF!,2,FALSE)</f>
        <v>#REF!</v>
      </c>
      <c r="B14" s="5" t="s">
        <v>157</v>
      </c>
      <c r="C14" s="6"/>
      <c r="D14" s="6"/>
    </row>
    <row r="15" spans="1:10" x14ac:dyDescent="0.35">
      <c r="A15" t="e">
        <f>VLOOKUP(B15,#REF!,2,FALSE)</f>
        <v>#REF!</v>
      </c>
      <c r="B15" s="5" t="s">
        <v>330</v>
      </c>
      <c r="C15" s="7">
        <f>0</f>
        <v>0</v>
      </c>
      <c r="D15" s="7">
        <f>0</f>
        <v>0</v>
      </c>
      <c r="J15" s="9"/>
    </row>
    <row r="16" spans="1:10" x14ac:dyDescent="0.35">
      <c r="A16" t="e">
        <f>VLOOKUP(B16,#REF!,2,FALSE)</f>
        <v>#REF!</v>
      </c>
      <c r="B16" s="5" t="s">
        <v>331</v>
      </c>
      <c r="C16" s="7">
        <f>-10000</f>
        <v>-10000</v>
      </c>
      <c r="D16" s="7">
        <f>-10000</f>
        <v>-10000</v>
      </c>
      <c r="J16" s="9"/>
    </row>
    <row r="17" spans="1:10" x14ac:dyDescent="0.35">
      <c r="A17" t="e">
        <f>VLOOKUP(B17,#REF!,2,FALSE)</f>
        <v>#REF!</v>
      </c>
      <c r="B17" s="5" t="s">
        <v>332</v>
      </c>
      <c r="C17" s="7">
        <f>56050.49</f>
        <v>56050.49</v>
      </c>
      <c r="D17" s="7">
        <f>24617</f>
        <v>24617</v>
      </c>
      <c r="J17" s="9"/>
    </row>
    <row r="18" spans="1:10" x14ac:dyDescent="0.35">
      <c r="A18" t="e">
        <f>VLOOKUP(B18,#REF!,2,FALSE)</f>
        <v>#REF!</v>
      </c>
      <c r="B18" s="5" t="s">
        <v>158</v>
      </c>
      <c r="C18" s="8">
        <f>((C15)+(C16))+(C17)</f>
        <v>46050.49</v>
      </c>
      <c r="D18" s="8">
        <f>((D15)+(D16))+(D17)</f>
        <v>14617</v>
      </c>
      <c r="J18" s="9"/>
    </row>
    <row r="19" spans="1:10" x14ac:dyDescent="0.35">
      <c r="A19" t="e">
        <f>VLOOKUP(B19,#REF!,2,FALSE)</f>
        <v>#REF!</v>
      </c>
      <c r="B19" s="5" t="s">
        <v>17</v>
      </c>
      <c r="C19" s="6"/>
      <c r="D19" s="6"/>
      <c r="J19" s="9"/>
    </row>
    <row r="20" spans="1:10" x14ac:dyDescent="0.35">
      <c r="A20" t="e">
        <f>VLOOKUP(B20,#REF!,2,FALSE)</f>
        <v>#REF!</v>
      </c>
      <c r="B20" s="5" t="s">
        <v>333</v>
      </c>
      <c r="C20" s="6"/>
      <c r="D20" s="6"/>
      <c r="J20" s="10"/>
    </row>
    <row r="21" spans="1:10" ht="14.25" customHeight="1" x14ac:dyDescent="0.35">
      <c r="A21" t="e">
        <f>VLOOKUP(B21,#REF!,2,FALSE)</f>
        <v>#REF!</v>
      </c>
      <c r="B21" s="5" t="s">
        <v>334</v>
      </c>
      <c r="C21" s="7">
        <f>731622.99</f>
        <v>731622.99</v>
      </c>
      <c r="D21" s="7">
        <f>586884.88</f>
        <v>586884.88</v>
      </c>
      <c r="J21" s="9"/>
    </row>
    <row r="22" spans="1:10" x14ac:dyDescent="0.35">
      <c r="A22" t="e">
        <f>VLOOKUP(B22,#REF!,2,FALSE)</f>
        <v>#REF!</v>
      </c>
      <c r="B22" s="5" t="s">
        <v>335</v>
      </c>
      <c r="C22" s="7">
        <f>52662.55</f>
        <v>52662.55</v>
      </c>
      <c r="D22" s="7">
        <f>51489.07</f>
        <v>51489.07</v>
      </c>
      <c r="J22" s="9"/>
    </row>
    <row r="23" spans="1:10" x14ac:dyDescent="0.35">
      <c r="A23" t="e">
        <f>VLOOKUP(B23,#REF!,2,FALSE)</f>
        <v>#REF!</v>
      </c>
      <c r="B23" s="5" t="s">
        <v>336</v>
      </c>
      <c r="C23" s="7">
        <f>52835.31</f>
        <v>52835.31</v>
      </c>
      <c r="D23" s="7">
        <f>51585.2</f>
        <v>51585.2</v>
      </c>
      <c r="J23" s="9"/>
    </row>
    <row r="24" spans="1:10" x14ac:dyDescent="0.35">
      <c r="A24" t="e">
        <f>VLOOKUP(B24,#REF!,2,FALSE)</f>
        <v>#REF!</v>
      </c>
      <c r="B24" s="5" t="s">
        <v>337</v>
      </c>
      <c r="C24" s="7">
        <f>52835.31</f>
        <v>52835.31</v>
      </c>
      <c r="D24" s="7">
        <f>51585.2</f>
        <v>51585.2</v>
      </c>
      <c r="J24" s="9"/>
    </row>
    <row r="25" spans="1:10" x14ac:dyDescent="0.35">
      <c r="A25" t="e">
        <f>VLOOKUP(B25,#REF!,2,FALSE)</f>
        <v>#REF!</v>
      </c>
      <c r="B25" s="5" t="s">
        <v>338</v>
      </c>
      <c r="C25" s="7">
        <f>0</f>
        <v>0</v>
      </c>
      <c r="D25" s="7">
        <f>45415.73</f>
        <v>45415.73</v>
      </c>
      <c r="J25" s="10"/>
    </row>
    <row r="26" spans="1:10" x14ac:dyDescent="0.35">
      <c r="A26" t="e">
        <f>VLOOKUP(B26,#REF!,2,FALSE)</f>
        <v>#REF!</v>
      </c>
      <c r="B26" s="5" t="s">
        <v>339</v>
      </c>
      <c r="C26" s="8">
        <f>(((((C20)+(C21))+(C22))+(C23))+(C24))+(C25)</f>
        <v>889956.16000000015</v>
      </c>
      <c r="D26" s="8">
        <f>(((((D20)+(D21))+(D22))+(D23))+(D24))+(D25)</f>
        <v>786960.07999999984</v>
      </c>
      <c r="J26" s="9"/>
    </row>
    <row r="27" spans="1:10" x14ac:dyDescent="0.35">
      <c r="A27" t="e">
        <f>VLOOKUP(B27,#REF!,2,FALSE)</f>
        <v>#REF!</v>
      </c>
      <c r="B27" s="5" t="s">
        <v>340</v>
      </c>
      <c r="C27" s="7">
        <f>0</f>
        <v>0</v>
      </c>
      <c r="D27" s="7">
        <f>5204</f>
        <v>5204</v>
      </c>
      <c r="J27" s="9"/>
    </row>
    <row r="28" spans="1:10" x14ac:dyDescent="0.35">
      <c r="A28" t="e">
        <f>VLOOKUP(B28,#REF!,2,FALSE)</f>
        <v>#REF!</v>
      </c>
      <c r="B28" s="5" t="s">
        <v>341</v>
      </c>
      <c r="C28" s="7">
        <f>11463.69</f>
        <v>11463.69</v>
      </c>
      <c r="D28" s="7">
        <f>10000</f>
        <v>10000</v>
      </c>
      <c r="J28" s="9"/>
    </row>
    <row r="29" spans="1:10" x14ac:dyDescent="0.35">
      <c r="A29" t="e">
        <f>VLOOKUP(B29,#REF!,2,FALSE)</f>
        <v>#REF!</v>
      </c>
      <c r="B29" s="5" t="s">
        <v>390</v>
      </c>
      <c r="C29" s="7">
        <f>80</f>
        <v>80</v>
      </c>
      <c r="D29" s="6"/>
      <c r="J29" s="9"/>
    </row>
    <row r="30" spans="1:10" x14ac:dyDescent="0.35">
      <c r="A30" t="e">
        <f>VLOOKUP(B30,#REF!,2,FALSE)</f>
        <v>#REF!</v>
      </c>
      <c r="B30" s="5" t="s">
        <v>18</v>
      </c>
      <c r="C30" s="8">
        <f>(((C26)+(C27))+(C28))+(C29)</f>
        <v>901499.85000000009</v>
      </c>
      <c r="D30" s="8">
        <f>(((D26)+(D27))+(D28))+(D29)</f>
        <v>802164.07999999984</v>
      </c>
      <c r="J30" s="9"/>
    </row>
    <row r="31" spans="1:10" x14ac:dyDescent="0.35">
      <c r="A31" t="e">
        <f>VLOOKUP(B31,#REF!,2,FALSE)</f>
        <v>#REF!</v>
      </c>
      <c r="B31" s="5" t="s">
        <v>19</v>
      </c>
      <c r="C31" s="8">
        <f>((C13)+(C18))+(C30)</f>
        <v>1046668.1200000001</v>
      </c>
      <c r="D31" s="8">
        <f>((D13)+(D18))+(D30)</f>
        <v>979127.20999999985</v>
      </c>
    </row>
    <row r="32" spans="1:10" x14ac:dyDescent="0.35">
      <c r="A32" t="e">
        <f>VLOOKUP(B32,#REF!,2,FALSE)</f>
        <v>#REF!</v>
      </c>
      <c r="B32" s="5" t="s">
        <v>20</v>
      </c>
      <c r="C32" s="6"/>
      <c r="D32" s="6"/>
    </row>
    <row r="33" spans="1:4" x14ac:dyDescent="0.35">
      <c r="A33" t="e">
        <f>VLOOKUP(B33,#REF!,2,FALSE)</f>
        <v>#REF!</v>
      </c>
      <c r="B33" s="5" t="s">
        <v>342</v>
      </c>
      <c r="C33" s="7">
        <f>2853.38</f>
        <v>2853.38</v>
      </c>
      <c r="D33" s="7">
        <f>100840.02</f>
        <v>100840.02</v>
      </c>
    </row>
    <row r="34" spans="1:4" x14ac:dyDescent="0.35">
      <c r="A34" t="e">
        <f>VLOOKUP(B34,#REF!,2,FALSE)</f>
        <v>#REF!</v>
      </c>
      <c r="B34" s="5" t="s">
        <v>343</v>
      </c>
      <c r="C34" s="7">
        <f>-2853.56</f>
        <v>-2853.56</v>
      </c>
      <c r="D34" s="7">
        <f>-100840.2</f>
        <v>-100840.2</v>
      </c>
    </row>
    <row r="35" spans="1:4" x14ac:dyDescent="0.35">
      <c r="A35" t="e">
        <f>VLOOKUP(B35,#REF!,2,FALSE)</f>
        <v>#REF!</v>
      </c>
      <c r="B35" s="5" t="s">
        <v>21</v>
      </c>
      <c r="C35" s="8">
        <f>(C33)+(C34)</f>
        <v>-0.17999999999983629</v>
      </c>
      <c r="D35" s="8">
        <f>(D33)+(D34)</f>
        <v>-0.17999999999301508</v>
      </c>
    </row>
    <row r="36" spans="1:4" x14ac:dyDescent="0.35">
      <c r="A36" t="e">
        <f>VLOOKUP(B36,#REF!,2,FALSE)</f>
        <v>#REF!</v>
      </c>
      <c r="B36" s="5" t="s">
        <v>22</v>
      </c>
      <c r="C36" s="8">
        <f>(C31)+(C35)</f>
        <v>1046667.9400000001</v>
      </c>
      <c r="D36" s="8">
        <f>(D31)+(D35)</f>
        <v>979127.0299999998</v>
      </c>
    </row>
    <row r="37" spans="1:4" x14ac:dyDescent="0.35">
      <c r="A37" t="e">
        <f>VLOOKUP(B37,#REF!,2,FALSE)</f>
        <v>#REF!</v>
      </c>
      <c r="B37" s="5" t="s">
        <v>23</v>
      </c>
      <c r="C37" s="6"/>
      <c r="D37" s="6"/>
    </row>
    <row r="38" spans="1:4" x14ac:dyDescent="0.35">
      <c r="A38" t="e">
        <f>VLOOKUP(B38,#REF!,2,FALSE)</f>
        <v>#REF!</v>
      </c>
      <c r="B38" s="5" t="s">
        <v>24</v>
      </c>
      <c r="C38" s="6"/>
      <c r="D38" s="6"/>
    </row>
    <row r="39" spans="1:4" x14ac:dyDescent="0.35">
      <c r="A39" t="e">
        <f>VLOOKUP(B39,#REF!,2,FALSE)</f>
        <v>#REF!</v>
      </c>
      <c r="B39" s="5" t="s">
        <v>25</v>
      </c>
      <c r="C39" s="6"/>
      <c r="D39" s="6"/>
    </row>
    <row r="40" spans="1:4" x14ac:dyDescent="0.35">
      <c r="A40" t="e">
        <f>VLOOKUP(B40,#REF!,2,FALSE)</f>
        <v>#REF!</v>
      </c>
      <c r="B40" s="5" t="s">
        <v>26</v>
      </c>
      <c r="C40" s="6"/>
      <c r="D40" s="6"/>
    </row>
    <row r="41" spans="1:4" x14ac:dyDescent="0.35">
      <c r="A41" t="e">
        <f>VLOOKUP(B41,#REF!,2,FALSE)</f>
        <v>#REF!</v>
      </c>
      <c r="B41" s="5" t="s">
        <v>344</v>
      </c>
      <c r="C41" s="7">
        <f>3201.6</f>
        <v>3201.6</v>
      </c>
      <c r="D41" s="7">
        <f>833.33</f>
        <v>833.33</v>
      </c>
    </row>
    <row r="42" spans="1:4" x14ac:dyDescent="0.35">
      <c r="A42" t="e">
        <f>VLOOKUP(B42,#REF!,2,FALSE)</f>
        <v>#REF!</v>
      </c>
      <c r="B42" s="5" t="s">
        <v>27</v>
      </c>
      <c r="C42" s="8">
        <f>C41</f>
        <v>3201.6</v>
      </c>
      <c r="D42" s="8">
        <f>D41</f>
        <v>833.33</v>
      </c>
    </row>
    <row r="43" spans="1:4" x14ac:dyDescent="0.35">
      <c r="A43" t="e">
        <f>VLOOKUP(B43,#REF!,2,FALSE)</f>
        <v>#REF!</v>
      </c>
      <c r="B43" s="5" t="s">
        <v>28</v>
      </c>
      <c r="C43" s="6"/>
      <c r="D43" s="6"/>
    </row>
    <row r="44" spans="1:4" x14ac:dyDescent="0.35">
      <c r="A44" t="e">
        <f>VLOOKUP(B44,#REF!,2,FALSE)</f>
        <v>#REF!</v>
      </c>
      <c r="B44" s="5" t="s">
        <v>345</v>
      </c>
      <c r="C44" s="7">
        <f>19709.62</f>
        <v>19709.62</v>
      </c>
      <c r="D44" s="7">
        <f>16452.77</f>
        <v>16452.77</v>
      </c>
    </row>
    <row r="45" spans="1:4" x14ac:dyDescent="0.35">
      <c r="A45" t="e">
        <f>VLOOKUP(B45,#REF!,2,FALSE)</f>
        <v>#REF!</v>
      </c>
      <c r="B45" s="5" t="s">
        <v>29</v>
      </c>
      <c r="C45" s="8">
        <f>C44</f>
        <v>19709.62</v>
      </c>
      <c r="D45" s="8">
        <f>D44</f>
        <v>16452.77</v>
      </c>
    </row>
    <row r="46" spans="1:4" x14ac:dyDescent="0.35">
      <c r="A46" t="e">
        <f>VLOOKUP(B46,#REF!,2,FALSE)</f>
        <v>#REF!</v>
      </c>
      <c r="B46" s="5" t="s">
        <v>30</v>
      </c>
      <c r="C46" s="6"/>
      <c r="D46" s="6"/>
    </row>
    <row r="47" spans="1:4" x14ac:dyDescent="0.35">
      <c r="A47" t="e">
        <f>VLOOKUP(B47,#REF!,2,FALSE)</f>
        <v>#REF!</v>
      </c>
      <c r="B47" s="5" t="s">
        <v>346</v>
      </c>
      <c r="C47" s="7">
        <f>2700</f>
        <v>2700</v>
      </c>
      <c r="D47" s="6"/>
    </row>
    <row r="48" spans="1:4" x14ac:dyDescent="0.35">
      <c r="A48" t="e">
        <f>VLOOKUP(B48,#REF!,2,FALSE)</f>
        <v>#REF!</v>
      </c>
      <c r="B48" s="5" t="s">
        <v>347</v>
      </c>
      <c r="C48" s="7">
        <f>14456.22</f>
        <v>14456.22</v>
      </c>
      <c r="D48" s="7">
        <f>13407.96</f>
        <v>13407.96</v>
      </c>
    </row>
    <row r="49" spans="1:4" x14ac:dyDescent="0.35">
      <c r="A49" t="e">
        <f>VLOOKUP(B49,#REF!,2,FALSE)</f>
        <v>#REF!</v>
      </c>
      <c r="B49" s="5" t="s">
        <v>348</v>
      </c>
      <c r="C49" s="7">
        <f>15030.08</f>
        <v>15030.08</v>
      </c>
      <c r="D49" s="7">
        <f>13728.17</f>
        <v>13728.17</v>
      </c>
    </row>
    <row r="50" spans="1:4" x14ac:dyDescent="0.35">
      <c r="A50" t="e">
        <f>VLOOKUP(B50,#REF!,2,FALSE)</f>
        <v>#REF!</v>
      </c>
      <c r="B50" s="5" t="s">
        <v>349</v>
      </c>
      <c r="C50" s="7">
        <f>0</f>
        <v>0</v>
      </c>
      <c r="D50" s="7">
        <f>-61.01</f>
        <v>-61.01</v>
      </c>
    </row>
    <row r="51" spans="1:4" x14ac:dyDescent="0.35">
      <c r="A51" t="e">
        <f>VLOOKUP(B51,#REF!,2,FALSE)</f>
        <v>#REF!</v>
      </c>
      <c r="B51" s="5" t="s">
        <v>350</v>
      </c>
      <c r="C51" s="7">
        <f>3386.71</f>
        <v>3386.71</v>
      </c>
      <c r="D51" s="7">
        <f>0</f>
        <v>0</v>
      </c>
    </row>
    <row r="52" spans="1:4" x14ac:dyDescent="0.35">
      <c r="A52" t="e">
        <f>VLOOKUP(B52,#REF!,2,FALSE)</f>
        <v>#REF!</v>
      </c>
      <c r="B52" s="5" t="s">
        <v>351</v>
      </c>
      <c r="C52" s="7">
        <f>0</f>
        <v>0</v>
      </c>
      <c r="D52" s="7">
        <f>-0.01</f>
        <v>-0.01</v>
      </c>
    </row>
    <row r="53" spans="1:4" x14ac:dyDescent="0.35">
      <c r="A53" t="e">
        <f>VLOOKUP(B53,#REF!,2,FALSE)</f>
        <v>#REF!</v>
      </c>
      <c r="B53" s="5" t="s">
        <v>352</v>
      </c>
      <c r="C53" s="7">
        <f>529.92</f>
        <v>529.91999999999996</v>
      </c>
      <c r="D53" s="7">
        <f>0</f>
        <v>0</v>
      </c>
    </row>
    <row r="54" spans="1:4" x14ac:dyDescent="0.35">
      <c r="A54" t="e">
        <f>VLOOKUP(B54,#REF!,2,FALSE)</f>
        <v>#REF!</v>
      </c>
      <c r="B54" s="5" t="s">
        <v>353</v>
      </c>
      <c r="C54" s="7">
        <f>34.56</f>
        <v>34.56</v>
      </c>
      <c r="D54" s="7">
        <f>97.56</f>
        <v>97.56</v>
      </c>
    </row>
    <row r="55" spans="1:4" x14ac:dyDescent="0.35">
      <c r="A55" t="e">
        <f>VLOOKUP(B55,#REF!,2,FALSE)</f>
        <v>#REF!</v>
      </c>
      <c r="B55" s="5" t="s">
        <v>354</v>
      </c>
      <c r="C55" s="7">
        <f>366.82</f>
        <v>366.82</v>
      </c>
      <c r="D55" s="7">
        <f>182.51</f>
        <v>182.51</v>
      </c>
    </row>
    <row r="56" spans="1:4" x14ac:dyDescent="0.35">
      <c r="A56" t="e">
        <f>VLOOKUP(B56,#REF!,2,FALSE)</f>
        <v>#REF!</v>
      </c>
      <c r="B56" s="5" t="s">
        <v>355</v>
      </c>
      <c r="C56" s="7">
        <f>-591.42</f>
        <v>-591.41999999999996</v>
      </c>
      <c r="D56" s="7">
        <f>110.55</f>
        <v>110.55</v>
      </c>
    </row>
    <row r="57" spans="1:4" x14ac:dyDescent="0.35">
      <c r="A57" t="e">
        <f>VLOOKUP(B57,#REF!,2,FALSE)</f>
        <v>#REF!</v>
      </c>
      <c r="B57" s="5" t="s">
        <v>356</v>
      </c>
      <c r="C57" s="7">
        <f>1108.85</f>
        <v>1108.8499999999999</v>
      </c>
      <c r="D57" s="7">
        <f>-57.77</f>
        <v>-57.77</v>
      </c>
    </row>
    <row r="58" spans="1:4" x14ac:dyDescent="0.35">
      <c r="A58" t="e">
        <f>VLOOKUP(B58,#REF!,2,FALSE)</f>
        <v>#REF!</v>
      </c>
      <c r="B58" s="5" t="s">
        <v>357</v>
      </c>
      <c r="C58" s="7">
        <f>0</f>
        <v>0</v>
      </c>
      <c r="D58" s="7">
        <f>-0.53</f>
        <v>-0.53</v>
      </c>
    </row>
    <row r="59" spans="1:4" x14ac:dyDescent="0.35">
      <c r="A59" t="e">
        <f>VLOOKUP(B59,#REF!,2,FALSE)</f>
        <v>#REF!</v>
      </c>
      <c r="B59" s="5" t="s">
        <v>358</v>
      </c>
      <c r="C59" s="7">
        <f>0</f>
        <v>0</v>
      </c>
      <c r="D59" s="7">
        <f>-138.65</f>
        <v>-138.65</v>
      </c>
    </row>
    <row r="60" spans="1:4" x14ac:dyDescent="0.35">
      <c r="A60" t="e">
        <f>VLOOKUP(B60,#REF!,2,FALSE)</f>
        <v>#REF!</v>
      </c>
      <c r="B60" s="5" t="s">
        <v>359</v>
      </c>
      <c r="C60" s="7">
        <f>0</f>
        <v>0</v>
      </c>
      <c r="D60" s="7">
        <f>-63.08</f>
        <v>-63.08</v>
      </c>
    </row>
    <row r="61" spans="1:4" x14ac:dyDescent="0.35">
      <c r="A61" t="e">
        <f>VLOOKUP(B61,#REF!,2,FALSE)</f>
        <v>#REF!</v>
      </c>
      <c r="B61" s="5" t="s">
        <v>360</v>
      </c>
      <c r="C61" s="7">
        <f>0</f>
        <v>0</v>
      </c>
      <c r="D61" s="7">
        <f>38.5</f>
        <v>38.5</v>
      </c>
    </row>
    <row r="62" spans="1:4" x14ac:dyDescent="0.35">
      <c r="A62" t="e">
        <f>VLOOKUP(B62,#REF!,2,FALSE)</f>
        <v>#REF!</v>
      </c>
      <c r="B62" s="5" t="s">
        <v>361</v>
      </c>
      <c r="C62" s="7">
        <f>0</f>
        <v>0</v>
      </c>
      <c r="D62" s="7">
        <f>-60.99</f>
        <v>-60.99</v>
      </c>
    </row>
    <row r="63" spans="1:4" ht="15" customHeight="1" x14ac:dyDescent="0.35">
      <c r="A63" t="e">
        <f>VLOOKUP(B63,#REF!,2,FALSE)</f>
        <v>#REF!</v>
      </c>
      <c r="B63" s="5" t="s">
        <v>362</v>
      </c>
      <c r="C63" s="7">
        <f>0</f>
        <v>0</v>
      </c>
      <c r="D63" s="7">
        <f>0.03</f>
        <v>0.03</v>
      </c>
    </row>
    <row r="64" spans="1:4" x14ac:dyDescent="0.35">
      <c r="A64" t="e">
        <f>VLOOKUP(B64,#REF!,2,FALSE)</f>
        <v>#REF!</v>
      </c>
      <c r="B64" s="5" t="s">
        <v>363</v>
      </c>
      <c r="C64" s="8">
        <f>(((((((((((((C50)+(C51))+(C52))+(C53))+(C54))+(C55))+(C56))+(C57))+(C58))+(C59))+(C60))+(C61))+(C62))+(C63)</f>
        <v>4835.4400000000005</v>
      </c>
      <c r="D64" s="8">
        <f>(((((((((((((D50)+(D51))+(D52))+(D53))+(D54))+(D55))+(D56))+(D57))+(D58))+(D59))+(D60))+(D61))+(D62))+(D63)</f>
        <v>47.110000000000063</v>
      </c>
    </row>
    <row r="65" spans="1:5" x14ac:dyDescent="0.35">
      <c r="A65" t="e">
        <f>VLOOKUP(B65,#REF!,2,FALSE)</f>
        <v>#REF!</v>
      </c>
      <c r="B65" s="5" t="s">
        <v>364</v>
      </c>
      <c r="C65" s="7">
        <f>0</f>
        <v>0</v>
      </c>
      <c r="D65" s="6"/>
    </row>
    <row r="66" spans="1:5" x14ac:dyDescent="0.35">
      <c r="A66" t="e">
        <f>VLOOKUP(B66,#REF!,2,FALSE)</f>
        <v>#REF!</v>
      </c>
      <c r="B66" s="5" t="s">
        <v>365</v>
      </c>
      <c r="C66" s="7">
        <f>172280.18</f>
        <v>172280.18</v>
      </c>
      <c r="D66" s="7">
        <f>0</f>
        <v>0</v>
      </c>
      <c r="E66" t="s">
        <v>169</v>
      </c>
    </row>
    <row r="67" spans="1:5" x14ac:dyDescent="0.35">
      <c r="A67" t="e">
        <f>VLOOKUP(B67,#REF!,2,FALSE)</f>
        <v>#REF!</v>
      </c>
      <c r="B67" s="5" t="s">
        <v>366</v>
      </c>
      <c r="C67" s="7">
        <f>0</f>
        <v>0</v>
      </c>
      <c r="D67" s="7">
        <f>30815.5</f>
        <v>30815.5</v>
      </c>
    </row>
    <row r="68" spans="1:5" x14ac:dyDescent="0.35">
      <c r="A68" t="e">
        <f>VLOOKUP(B68,#REF!,2,FALSE)</f>
        <v>#REF!</v>
      </c>
      <c r="B68" s="5" t="s">
        <v>367</v>
      </c>
      <c r="C68" s="7">
        <f>0</f>
        <v>0</v>
      </c>
      <c r="D68" s="7">
        <f>33583.33</f>
        <v>33583.33</v>
      </c>
    </row>
    <row r="69" spans="1:5" x14ac:dyDescent="0.35">
      <c r="A69" t="e">
        <f>VLOOKUP(B69,#REF!,2,FALSE)</f>
        <v>#REF!</v>
      </c>
      <c r="B69" s="5" t="s">
        <v>368</v>
      </c>
      <c r="C69" s="7">
        <f>0</f>
        <v>0</v>
      </c>
      <c r="D69" s="7">
        <f>38894.11</f>
        <v>38894.11</v>
      </c>
    </row>
    <row r="70" spans="1:5" x14ac:dyDescent="0.35">
      <c r="A70" t="e">
        <f>VLOOKUP(B70,#REF!,2,FALSE)</f>
        <v>#REF!</v>
      </c>
      <c r="B70" s="5" t="s">
        <v>369</v>
      </c>
      <c r="C70" s="7">
        <f>0</f>
        <v>0</v>
      </c>
      <c r="D70" s="7">
        <f>1168.14</f>
        <v>1168.1400000000001</v>
      </c>
    </row>
    <row r="71" spans="1:5" x14ac:dyDescent="0.35">
      <c r="A71" t="e">
        <f>VLOOKUP(B71,#REF!,2,FALSE)</f>
        <v>#REF!</v>
      </c>
      <c r="B71" s="5" t="s">
        <v>370</v>
      </c>
      <c r="C71" s="7">
        <f>0</f>
        <v>0</v>
      </c>
      <c r="D71" s="7">
        <f>3024.95</f>
        <v>3024.95</v>
      </c>
    </row>
    <row r="72" spans="1:5" x14ac:dyDescent="0.35">
      <c r="A72" t="e">
        <f>VLOOKUP(B72,#REF!,2,FALSE)</f>
        <v>#REF!</v>
      </c>
      <c r="B72" s="5" t="s">
        <v>371</v>
      </c>
      <c r="C72" s="7">
        <f>0</f>
        <v>0</v>
      </c>
      <c r="D72" s="7">
        <f>12100</f>
        <v>12100</v>
      </c>
    </row>
    <row r="73" spans="1:5" x14ac:dyDescent="0.35">
      <c r="A73" t="e">
        <f>VLOOKUP(B73,#REF!,2,FALSE)</f>
        <v>#REF!</v>
      </c>
      <c r="B73" s="5" t="s">
        <v>372</v>
      </c>
      <c r="C73" s="7">
        <f>0</f>
        <v>0</v>
      </c>
      <c r="D73" s="7">
        <f>24150</f>
        <v>24150</v>
      </c>
    </row>
    <row r="74" spans="1:5" x14ac:dyDescent="0.35">
      <c r="A74" t="e">
        <f>VLOOKUP(B74,#REF!,2,FALSE)</f>
        <v>#REF!</v>
      </c>
      <c r="B74" s="5" t="s">
        <v>373</v>
      </c>
      <c r="C74" s="7">
        <f>0</f>
        <v>0</v>
      </c>
      <c r="D74" s="7">
        <f>6300</f>
        <v>6300</v>
      </c>
    </row>
    <row r="75" spans="1:5" x14ac:dyDescent="0.35">
      <c r="A75" t="e">
        <f>VLOOKUP(B75,#REF!,2,FALSE)</f>
        <v>#REF!</v>
      </c>
      <c r="B75" s="5" t="s">
        <v>374</v>
      </c>
      <c r="C75" s="8">
        <f>((((((((C66)+(C67))+(C68))+(C69))+(C70))+(C71))+(C72))+(C73))+(C74)</f>
        <v>172280.18</v>
      </c>
      <c r="D75" s="8">
        <f>((((((((D66)+(D67))+(D68))+(D69))+(D70))+(D71))+(D72))+(D73))+(D74)</f>
        <v>150036.03</v>
      </c>
    </row>
    <row r="76" spans="1:5" x14ac:dyDescent="0.35">
      <c r="A76" t="e">
        <f>VLOOKUP(B76,#REF!,2,FALSE)</f>
        <v>#REF!</v>
      </c>
      <c r="B76" s="5" t="s">
        <v>375</v>
      </c>
      <c r="C76" s="7">
        <f>62027.25</f>
        <v>62027.25</v>
      </c>
      <c r="D76" s="7">
        <f>0</f>
        <v>0</v>
      </c>
    </row>
    <row r="77" spans="1:5" x14ac:dyDescent="0.35">
      <c r="A77" t="e">
        <f>VLOOKUP(B77,#REF!,2,FALSE)</f>
        <v>#REF!</v>
      </c>
      <c r="B77" s="5" t="s">
        <v>376</v>
      </c>
      <c r="C77" s="7">
        <f>0</f>
        <v>0</v>
      </c>
      <c r="D77" s="7">
        <f>0</f>
        <v>0</v>
      </c>
    </row>
    <row r="78" spans="1:5" x14ac:dyDescent="0.35">
      <c r="A78" t="e">
        <f>VLOOKUP(B78,#REF!,2,FALSE)</f>
        <v>#REF!</v>
      </c>
      <c r="B78" s="5" t="s">
        <v>377</v>
      </c>
      <c r="C78" s="7">
        <f>0</f>
        <v>0</v>
      </c>
      <c r="D78" s="7">
        <f>0</f>
        <v>0</v>
      </c>
    </row>
    <row r="79" spans="1:5" x14ac:dyDescent="0.35">
      <c r="A79" t="e">
        <f>VLOOKUP(B79,#REF!,2,FALSE)</f>
        <v>#REF!</v>
      </c>
      <c r="B79" s="5" t="s">
        <v>378</v>
      </c>
      <c r="C79" s="7">
        <f>0</f>
        <v>0</v>
      </c>
      <c r="D79" s="7">
        <f>0</f>
        <v>0</v>
      </c>
    </row>
    <row r="80" spans="1:5" x14ac:dyDescent="0.35">
      <c r="A80" t="e">
        <f>VLOOKUP(B80,#REF!,2,FALSE)</f>
        <v>#REF!</v>
      </c>
      <c r="B80" s="5" t="s">
        <v>379</v>
      </c>
      <c r="C80" s="7">
        <f>0</f>
        <v>0</v>
      </c>
      <c r="D80" s="7">
        <f>0</f>
        <v>0</v>
      </c>
    </row>
    <row r="81" spans="1:4" x14ac:dyDescent="0.35">
      <c r="A81" t="e">
        <f>VLOOKUP(B81,#REF!,2,FALSE)</f>
        <v>#REF!</v>
      </c>
      <c r="B81" s="5" t="s">
        <v>380</v>
      </c>
      <c r="C81" s="7">
        <f>0</f>
        <v>0</v>
      </c>
      <c r="D81" s="7">
        <f>218.57</f>
        <v>218.57</v>
      </c>
    </row>
    <row r="82" spans="1:4" x14ac:dyDescent="0.35">
      <c r="A82" t="e">
        <f>VLOOKUP(B82,#REF!,2,FALSE)</f>
        <v>#REF!</v>
      </c>
      <c r="B82" s="5" t="s">
        <v>381</v>
      </c>
      <c r="C82" s="7">
        <f>0</f>
        <v>0</v>
      </c>
      <c r="D82" s="7">
        <f>-218.57</f>
        <v>-218.57</v>
      </c>
    </row>
    <row r="83" spans="1:4" x14ac:dyDescent="0.35">
      <c r="A83" t="e">
        <f>VLOOKUP(B83,#REF!,2,FALSE)</f>
        <v>#REF!</v>
      </c>
      <c r="B83" s="5" t="s">
        <v>31</v>
      </c>
      <c r="C83" s="8">
        <f>((((((((((((C47)+(C48))+(C49))+(C64))+(C65))+(C75))+(C76))+(C77))+(C78))+(C79))+(C80))+(C81))+(C82)</f>
        <v>271329.17</v>
      </c>
      <c r="D83" s="8">
        <f>((((((((((((D47)+(D48))+(D49))+(D64))+(D65))+(D75))+(D76))+(D77))+(D78))+(D79))+(D80))+(D81))+(D82)</f>
        <v>177219.27</v>
      </c>
    </row>
    <row r="84" spans="1:4" x14ac:dyDescent="0.35">
      <c r="A84" t="e">
        <f>VLOOKUP(B84,#REF!,2,FALSE)</f>
        <v>#REF!</v>
      </c>
      <c r="B84" s="5" t="s">
        <v>32</v>
      </c>
      <c r="C84" s="8">
        <f>((C42)+(C45))+(C83)</f>
        <v>294240.38999999996</v>
      </c>
      <c r="D84" s="8">
        <f>((D42)+(D45))+(D83)</f>
        <v>194505.37</v>
      </c>
    </row>
    <row r="85" spans="1:4" x14ac:dyDescent="0.35">
      <c r="A85" t="e">
        <f>VLOOKUP(B85,#REF!,2,FALSE)</f>
        <v>#REF!</v>
      </c>
      <c r="B85" s="5" t="s">
        <v>241</v>
      </c>
      <c r="C85" s="6"/>
      <c r="D85" s="6"/>
    </row>
    <row r="86" spans="1:4" x14ac:dyDescent="0.35">
      <c r="A86" t="e">
        <f>VLOOKUP(B86,#REF!,2,FALSE)</f>
        <v>#REF!</v>
      </c>
      <c r="B86" s="5" t="s">
        <v>382</v>
      </c>
      <c r="C86" s="7">
        <f>142835.46</f>
        <v>142835.46</v>
      </c>
      <c r="D86" s="7">
        <f>143052.63</f>
        <v>143052.63</v>
      </c>
    </row>
    <row r="87" spans="1:4" x14ac:dyDescent="0.35">
      <c r="A87" t="e">
        <f>VLOOKUP(B87,#REF!,2,FALSE)</f>
        <v>#REF!</v>
      </c>
      <c r="B87" s="5" t="s">
        <v>242</v>
      </c>
      <c r="C87" s="8">
        <f>C86</f>
        <v>142835.46</v>
      </c>
      <c r="D87" s="8">
        <f>D86</f>
        <v>143052.63</v>
      </c>
    </row>
    <row r="88" spans="1:4" x14ac:dyDescent="0.35">
      <c r="A88" t="e">
        <f>VLOOKUP(B88,#REF!,2,FALSE)</f>
        <v>#REF!</v>
      </c>
      <c r="B88" s="5" t="s">
        <v>33</v>
      </c>
      <c r="C88" s="8">
        <f>(C84)+(C87)</f>
        <v>437075.85</v>
      </c>
      <c r="D88" s="8">
        <f>(D84)+(D87)</f>
        <v>337558</v>
      </c>
    </row>
    <row r="89" spans="1:4" x14ac:dyDescent="0.35">
      <c r="A89" t="e">
        <f>VLOOKUP(B89,#REF!,2,FALSE)</f>
        <v>#REF!</v>
      </c>
      <c r="B89" s="5" t="s">
        <v>34</v>
      </c>
      <c r="C89" s="6"/>
      <c r="D89" s="6"/>
    </row>
    <row r="90" spans="1:4" x14ac:dyDescent="0.35">
      <c r="A90" t="e">
        <f>VLOOKUP(B90,#REF!,2,FALSE)</f>
        <v>#REF!</v>
      </c>
      <c r="B90" s="5" t="s">
        <v>383</v>
      </c>
      <c r="C90" s="7">
        <f>585445.12</f>
        <v>585445.12</v>
      </c>
      <c r="D90" s="7">
        <f>539097.84</f>
        <v>539097.84</v>
      </c>
    </row>
    <row r="91" spans="1:4" x14ac:dyDescent="0.35">
      <c r="A91" t="e">
        <f>VLOOKUP(B91,#REF!,2,FALSE)</f>
        <v>#REF!</v>
      </c>
      <c r="B91" s="5" t="s">
        <v>384</v>
      </c>
      <c r="C91" s="7">
        <f>0</f>
        <v>0</v>
      </c>
      <c r="D91" s="7">
        <f>0</f>
        <v>0</v>
      </c>
    </row>
    <row r="92" spans="1:4" x14ac:dyDescent="0.35">
      <c r="A92" t="e">
        <f>VLOOKUP(B92,#REF!,2,FALSE)</f>
        <v>#REF!</v>
      </c>
      <c r="B92" s="5" t="s">
        <v>159</v>
      </c>
      <c r="C92" s="7">
        <f>24146.97</f>
        <v>24146.97</v>
      </c>
      <c r="D92" s="7">
        <f>102471.19</f>
        <v>102471.19</v>
      </c>
    </row>
    <row r="93" spans="1:4" x14ac:dyDescent="0.35">
      <c r="A93" t="e">
        <f>VLOOKUP(B93,#REF!,2,FALSE)</f>
        <v>#REF!</v>
      </c>
      <c r="B93" s="5" t="s">
        <v>35</v>
      </c>
      <c r="C93" s="8">
        <f>((C90)+(C91))+(C92)</f>
        <v>609592.09</v>
      </c>
      <c r="D93" s="8">
        <f>((D90)+(D91))+(D92)</f>
        <v>641569.03</v>
      </c>
    </row>
    <row r="94" spans="1:4" x14ac:dyDescent="0.35">
      <c r="A94" t="e">
        <f>VLOOKUP(B94,#REF!,2,FALSE)</f>
        <v>#REF!</v>
      </c>
      <c r="B94" s="5" t="s">
        <v>36</v>
      </c>
      <c r="C94" s="8">
        <f>(C88)+(C93)</f>
        <v>1046667.94</v>
      </c>
      <c r="D94" s="8">
        <f>(D88)+(D93)</f>
        <v>979127.03</v>
      </c>
    </row>
    <row r="95" spans="1:4" x14ac:dyDescent="0.35">
      <c r="A95" t="e">
        <f>VLOOKUP(B95,#REF!,2,FALSE)</f>
        <v>#REF!</v>
      </c>
    </row>
    <row r="96" spans="1:4" x14ac:dyDescent="0.35">
      <c r="A96" t="e">
        <f>VLOOKUP(B96,#REF!,2,FALSE)</f>
        <v>#REF!</v>
      </c>
    </row>
    <row r="97" spans="1:1" x14ac:dyDescent="0.35">
      <c r="A97" t="e">
        <f>VLOOKUP(B97,#REF!,2,FALSE)</f>
        <v>#REF!</v>
      </c>
    </row>
    <row r="98" spans="1:1" x14ac:dyDescent="0.35">
      <c r="A98" t="e">
        <f>VLOOKUP(B98,#REF!,2,FALSE)</f>
        <v>#REF!</v>
      </c>
    </row>
    <row r="99" spans="1:1" x14ac:dyDescent="0.35">
      <c r="A99" t="e">
        <f>VLOOKUP(B99,#REF!,2,FALSE)</f>
        <v>#REF!</v>
      </c>
    </row>
    <row r="100" spans="1:1" x14ac:dyDescent="0.35">
      <c r="A100" t="e">
        <f>VLOOKUP(B100,#REF!,2,FALSE)</f>
        <v>#REF!</v>
      </c>
    </row>
  </sheetData>
  <mergeCells count="4">
    <mergeCell ref="B1:D1"/>
    <mergeCell ref="B2:D2"/>
    <mergeCell ref="B3:D3"/>
    <mergeCell ref="C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A5A85-4FFA-4F38-BBC2-DEF88069FD8C}">
  <sheetPr>
    <tabColor theme="9" tint="0.59999389629810485"/>
  </sheetPr>
  <dimension ref="A1:I101"/>
  <sheetViews>
    <sheetView workbookViewId="0">
      <selection sqref="A1:I1"/>
    </sheetView>
  </sheetViews>
  <sheetFormatPr defaultRowHeight="14.5" x14ac:dyDescent="0.35"/>
  <cols>
    <col min="1" max="1" width="47.26953125" customWidth="1"/>
    <col min="2" max="7" width="12.54296875" customWidth="1"/>
    <col min="8" max="8" width="10.1796875" bestFit="1" customWidth="1"/>
    <col min="9" max="9" width="10.453125" bestFit="1" customWidth="1"/>
  </cols>
  <sheetData>
    <row r="1" spans="1:9" ht="18" x14ac:dyDescent="0.4">
      <c r="A1" s="40" t="s">
        <v>37</v>
      </c>
      <c r="B1" s="39"/>
      <c r="C1" s="39"/>
      <c r="D1" s="39"/>
      <c r="E1" s="39"/>
      <c r="F1" s="39"/>
      <c r="G1" s="39"/>
      <c r="H1" s="39"/>
      <c r="I1" s="39"/>
    </row>
    <row r="2" spans="1:9" ht="18" x14ac:dyDescent="0.4">
      <c r="A2" s="40" t="s">
        <v>102</v>
      </c>
      <c r="B2" s="39"/>
      <c r="C2" s="39"/>
      <c r="D2" s="39"/>
      <c r="E2" s="39"/>
      <c r="F2" s="39"/>
      <c r="G2" s="39"/>
      <c r="H2" s="39"/>
      <c r="I2" s="39"/>
    </row>
    <row r="3" spans="1:9" x14ac:dyDescent="0.35">
      <c r="A3" s="42" t="s">
        <v>131</v>
      </c>
      <c r="B3" s="39"/>
      <c r="C3" s="39"/>
      <c r="D3" s="39"/>
      <c r="E3" s="39"/>
      <c r="F3" s="39"/>
      <c r="G3" s="39"/>
      <c r="H3" s="39"/>
      <c r="I3" s="39"/>
    </row>
    <row r="5" spans="1:9" ht="24" x14ac:dyDescent="0.35">
      <c r="A5" s="1"/>
      <c r="B5" s="12" t="s">
        <v>103</v>
      </c>
      <c r="C5" s="12" t="s">
        <v>104</v>
      </c>
      <c r="D5" s="12" t="s">
        <v>105</v>
      </c>
      <c r="E5" s="12" t="s">
        <v>106</v>
      </c>
      <c r="F5" s="12" t="s">
        <v>107</v>
      </c>
      <c r="G5" s="12" t="s">
        <v>108</v>
      </c>
      <c r="H5" s="12" t="s">
        <v>132</v>
      </c>
      <c r="I5" s="12" t="s">
        <v>2</v>
      </c>
    </row>
    <row r="6" spans="1:9" x14ac:dyDescent="0.35">
      <c r="A6" s="5" t="s">
        <v>7</v>
      </c>
      <c r="B6" s="6"/>
      <c r="C6" s="6"/>
      <c r="D6" s="6"/>
      <c r="E6" s="6"/>
      <c r="F6" s="6"/>
      <c r="G6" s="6"/>
      <c r="H6" s="6"/>
      <c r="I6" s="6"/>
    </row>
    <row r="7" spans="1:9" x14ac:dyDescent="0.35">
      <c r="A7" s="5" t="s">
        <v>38</v>
      </c>
      <c r="B7" s="6"/>
      <c r="C7" s="6"/>
      <c r="D7" s="6"/>
      <c r="E7" s="6"/>
      <c r="F7" s="6"/>
      <c r="G7" s="6"/>
      <c r="H7" s="6"/>
      <c r="I7" s="7">
        <f t="shared" ref="I7:I28" si="0">((((((B7)+(C7))+(D7))+(E7))+(F7))+(G7))+(H7)</f>
        <v>0</v>
      </c>
    </row>
    <row r="8" spans="1:9" x14ac:dyDescent="0.35">
      <c r="A8" s="5" t="s">
        <v>39</v>
      </c>
      <c r="B8" s="7">
        <f>32159.51</f>
        <v>32159.51</v>
      </c>
      <c r="C8" s="7">
        <f>2804.73</f>
        <v>2804.73</v>
      </c>
      <c r="D8" s="7">
        <f>4078.95</f>
        <v>4078.95</v>
      </c>
      <c r="E8" s="7">
        <f>8872.03</f>
        <v>8872.0300000000007</v>
      </c>
      <c r="F8" s="7">
        <f>4966.45</f>
        <v>4966.45</v>
      </c>
      <c r="G8" s="7">
        <f>27010.89</f>
        <v>27010.89</v>
      </c>
      <c r="H8" s="7">
        <f>2057.83</f>
        <v>2057.83</v>
      </c>
      <c r="I8" s="7">
        <f t="shared" si="0"/>
        <v>81950.39</v>
      </c>
    </row>
    <row r="9" spans="1:9" x14ac:dyDescent="0.35">
      <c r="A9" s="5" t="s">
        <v>40</v>
      </c>
      <c r="B9" s="8">
        <f t="shared" ref="B9:H9" si="1">(B7)+(B8)</f>
        <v>32159.51</v>
      </c>
      <c r="C9" s="8">
        <f t="shared" si="1"/>
        <v>2804.73</v>
      </c>
      <c r="D9" s="8">
        <f t="shared" si="1"/>
        <v>4078.95</v>
      </c>
      <c r="E9" s="8">
        <f t="shared" si="1"/>
        <v>8872.0300000000007</v>
      </c>
      <c r="F9" s="8">
        <f t="shared" si="1"/>
        <v>4966.45</v>
      </c>
      <c r="G9" s="8">
        <f t="shared" si="1"/>
        <v>27010.89</v>
      </c>
      <c r="H9" s="8">
        <f t="shared" si="1"/>
        <v>2057.83</v>
      </c>
      <c r="I9" s="8">
        <f t="shared" si="0"/>
        <v>81950.39</v>
      </c>
    </row>
    <row r="10" spans="1:9" x14ac:dyDescent="0.35">
      <c r="A10" s="5" t="s">
        <v>41</v>
      </c>
      <c r="B10" s="6"/>
      <c r="C10" s="6"/>
      <c r="D10" s="6"/>
      <c r="E10" s="6"/>
      <c r="F10" s="6"/>
      <c r="G10" s="6"/>
      <c r="H10" s="6"/>
      <c r="I10" s="7">
        <f t="shared" si="0"/>
        <v>0</v>
      </c>
    </row>
    <row r="11" spans="1:9" x14ac:dyDescent="0.35">
      <c r="A11" s="5" t="s">
        <v>42</v>
      </c>
      <c r="B11" s="6"/>
      <c r="C11" s="6"/>
      <c r="D11" s="7">
        <f>65000</f>
        <v>65000</v>
      </c>
      <c r="E11" s="6"/>
      <c r="F11" s="6"/>
      <c r="G11" s="7">
        <f>15500</f>
        <v>15500</v>
      </c>
      <c r="H11" s="6"/>
      <c r="I11" s="7">
        <f t="shared" si="0"/>
        <v>80500</v>
      </c>
    </row>
    <row r="12" spans="1:9" x14ac:dyDescent="0.35">
      <c r="A12" s="5" t="s">
        <v>43</v>
      </c>
      <c r="B12" s="8">
        <f t="shared" ref="B12:H12" si="2">(B10)+(B11)</f>
        <v>0</v>
      </c>
      <c r="C12" s="8">
        <f t="shared" si="2"/>
        <v>0</v>
      </c>
      <c r="D12" s="8">
        <f t="shared" si="2"/>
        <v>65000</v>
      </c>
      <c r="E12" s="8">
        <f t="shared" si="2"/>
        <v>0</v>
      </c>
      <c r="F12" s="8">
        <f t="shared" si="2"/>
        <v>0</v>
      </c>
      <c r="G12" s="8">
        <f t="shared" si="2"/>
        <v>15500</v>
      </c>
      <c r="H12" s="8">
        <f t="shared" si="2"/>
        <v>0</v>
      </c>
      <c r="I12" s="8">
        <f t="shared" si="0"/>
        <v>80500</v>
      </c>
    </row>
    <row r="13" spans="1:9" x14ac:dyDescent="0.35">
      <c r="A13" s="5" t="s">
        <v>44</v>
      </c>
      <c r="B13" s="6"/>
      <c r="C13" s="6"/>
      <c r="D13" s="7">
        <f>2800</f>
        <v>2800</v>
      </c>
      <c r="E13" s="7">
        <f>125294.71</f>
        <v>125294.71</v>
      </c>
      <c r="F13" s="7">
        <f>-128094.71</f>
        <v>-128094.71</v>
      </c>
      <c r="G13" s="6"/>
      <c r="H13" s="6"/>
      <c r="I13" s="7">
        <f t="shared" si="0"/>
        <v>0</v>
      </c>
    </row>
    <row r="14" spans="1:9" x14ac:dyDescent="0.35">
      <c r="A14" s="5" t="s">
        <v>45</v>
      </c>
      <c r="B14" s="7">
        <f>10000</f>
        <v>10000</v>
      </c>
      <c r="C14" s="7">
        <f>5000</f>
        <v>5000</v>
      </c>
      <c r="D14" s="7">
        <f>25000</f>
        <v>25000</v>
      </c>
      <c r="E14" s="7">
        <f>5000</f>
        <v>5000</v>
      </c>
      <c r="F14" s="7">
        <f>31000</f>
        <v>31000</v>
      </c>
      <c r="G14" s="6"/>
      <c r="H14" s="7">
        <f>3000</f>
        <v>3000</v>
      </c>
      <c r="I14" s="7">
        <f t="shared" si="0"/>
        <v>79000</v>
      </c>
    </row>
    <row r="15" spans="1:9" x14ac:dyDescent="0.35">
      <c r="A15" s="5" t="s">
        <v>46</v>
      </c>
      <c r="B15" s="6"/>
      <c r="C15" s="7">
        <f>3325</f>
        <v>3325</v>
      </c>
      <c r="D15" s="7">
        <f>27900</f>
        <v>27900</v>
      </c>
      <c r="E15" s="7">
        <f>2875</f>
        <v>2875</v>
      </c>
      <c r="F15" s="7">
        <f>11425</f>
        <v>11425</v>
      </c>
      <c r="G15" s="6"/>
      <c r="H15" s="6"/>
      <c r="I15" s="7">
        <f t="shared" si="0"/>
        <v>45525</v>
      </c>
    </row>
    <row r="16" spans="1:9" x14ac:dyDescent="0.35">
      <c r="A16" s="5" t="s">
        <v>47</v>
      </c>
      <c r="B16" s="6"/>
      <c r="C16" s="6"/>
      <c r="D16" s="6"/>
      <c r="E16" s="6"/>
      <c r="F16" s="7">
        <f>62236</f>
        <v>62236</v>
      </c>
      <c r="G16" s="6"/>
      <c r="H16" s="6"/>
      <c r="I16" s="7">
        <f t="shared" si="0"/>
        <v>62236</v>
      </c>
    </row>
    <row r="17" spans="1:9" x14ac:dyDescent="0.35">
      <c r="A17" s="5" t="s">
        <v>48</v>
      </c>
      <c r="B17" s="6"/>
      <c r="C17" s="6"/>
      <c r="D17" s="7">
        <f>2630</f>
        <v>2630</v>
      </c>
      <c r="E17" s="7">
        <f>13785</f>
        <v>13785</v>
      </c>
      <c r="F17" s="7">
        <f>241650</f>
        <v>241650</v>
      </c>
      <c r="G17" s="7">
        <f>497.98</f>
        <v>497.98</v>
      </c>
      <c r="H17" s="6"/>
      <c r="I17" s="7">
        <f t="shared" si="0"/>
        <v>258562.98</v>
      </c>
    </row>
    <row r="18" spans="1:9" x14ac:dyDescent="0.35">
      <c r="A18" s="5" t="s">
        <v>49</v>
      </c>
      <c r="B18" s="6"/>
      <c r="C18" s="6"/>
      <c r="D18" s="6"/>
      <c r="E18" s="6"/>
      <c r="F18" s="7">
        <f>1850</f>
        <v>1850</v>
      </c>
      <c r="G18" s="6"/>
      <c r="H18" s="6"/>
      <c r="I18" s="7">
        <f t="shared" si="0"/>
        <v>1850</v>
      </c>
    </row>
    <row r="19" spans="1:9" x14ac:dyDescent="0.35">
      <c r="A19" s="5" t="s">
        <v>122</v>
      </c>
      <c r="B19" s="6"/>
      <c r="C19" s="6"/>
      <c r="D19" s="6"/>
      <c r="E19" s="6"/>
      <c r="F19" s="7">
        <f>52396</f>
        <v>52396</v>
      </c>
      <c r="G19" s="6"/>
      <c r="H19" s="6"/>
      <c r="I19" s="7">
        <f t="shared" si="0"/>
        <v>52396</v>
      </c>
    </row>
    <row r="20" spans="1:9" x14ac:dyDescent="0.35">
      <c r="A20" s="5" t="s">
        <v>50</v>
      </c>
      <c r="B20" s="8">
        <f t="shared" ref="B20:H20" si="3">((((((B13)+(B14))+(B15))+(B16))+(B17))+(B18))+(B19)</f>
        <v>10000</v>
      </c>
      <c r="C20" s="8">
        <f t="shared" si="3"/>
        <v>8325</v>
      </c>
      <c r="D20" s="8">
        <f t="shared" si="3"/>
        <v>58330</v>
      </c>
      <c r="E20" s="8">
        <f t="shared" si="3"/>
        <v>146954.71000000002</v>
      </c>
      <c r="F20" s="8">
        <f t="shared" si="3"/>
        <v>272462.28999999998</v>
      </c>
      <c r="G20" s="8">
        <f t="shared" si="3"/>
        <v>497.98</v>
      </c>
      <c r="H20" s="8">
        <f t="shared" si="3"/>
        <v>3000</v>
      </c>
      <c r="I20" s="8">
        <f t="shared" si="0"/>
        <v>499569.98</v>
      </c>
    </row>
    <row r="21" spans="1:9" x14ac:dyDescent="0.35">
      <c r="A21" s="5" t="s">
        <v>109</v>
      </c>
      <c r="B21" s="6"/>
      <c r="C21" s="6"/>
      <c r="D21" s="6"/>
      <c r="E21" s="6"/>
      <c r="F21" s="6"/>
      <c r="G21" s="6"/>
      <c r="H21" s="6"/>
      <c r="I21" s="7">
        <f t="shared" si="0"/>
        <v>0</v>
      </c>
    </row>
    <row r="22" spans="1:9" x14ac:dyDescent="0.35">
      <c r="A22" s="5" t="s">
        <v>110</v>
      </c>
      <c r="B22" s="7">
        <f>159.63</f>
        <v>159.63</v>
      </c>
      <c r="C22" s="7">
        <f>141.28</f>
        <v>141.28</v>
      </c>
      <c r="D22" s="7">
        <f>162.69</f>
        <v>162.69</v>
      </c>
      <c r="E22" s="7">
        <f>152.17</f>
        <v>152.16999999999999</v>
      </c>
      <c r="F22" s="7">
        <f>208.42</f>
        <v>208.42</v>
      </c>
      <c r="G22" s="7">
        <f>234.6</f>
        <v>234.6</v>
      </c>
      <c r="H22" s="7">
        <f>14.86</f>
        <v>14.86</v>
      </c>
      <c r="I22" s="7">
        <f t="shared" si="0"/>
        <v>1073.6499999999999</v>
      </c>
    </row>
    <row r="23" spans="1:9" x14ac:dyDescent="0.35">
      <c r="A23" s="5" t="s">
        <v>111</v>
      </c>
      <c r="B23" s="8">
        <f t="shared" ref="B23:H23" si="4">(B21)+(B22)</f>
        <v>159.63</v>
      </c>
      <c r="C23" s="8">
        <f t="shared" si="4"/>
        <v>141.28</v>
      </c>
      <c r="D23" s="8">
        <f t="shared" si="4"/>
        <v>162.69</v>
      </c>
      <c r="E23" s="8">
        <f t="shared" si="4"/>
        <v>152.16999999999999</v>
      </c>
      <c r="F23" s="8">
        <f t="shared" si="4"/>
        <v>208.42</v>
      </c>
      <c r="G23" s="8">
        <f t="shared" si="4"/>
        <v>234.6</v>
      </c>
      <c r="H23" s="8">
        <f t="shared" si="4"/>
        <v>14.86</v>
      </c>
      <c r="I23" s="8">
        <f t="shared" si="0"/>
        <v>1073.6499999999999</v>
      </c>
    </row>
    <row r="24" spans="1:9" x14ac:dyDescent="0.35">
      <c r="A24" s="5" t="s">
        <v>123</v>
      </c>
      <c r="B24" s="6"/>
      <c r="C24" s="6"/>
      <c r="D24" s="6"/>
      <c r="E24" s="6"/>
      <c r="F24" s="6"/>
      <c r="G24" s="6"/>
      <c r="H24" s="6"/>
      <c r="I24" s="7">
        <f t="shared" si="0"/>
        <v>0</v>
      </c>
    </row>
    <row r="25" spans="1:9" x14ac:dyDescent="0.35">
      <c r="A25" s="5" t="s">
        <v>124</v>
      </c>
      <c r="B25" s="6"/>
      <c r="C25" s="6"/>
      <c r="D25" s="6"/>
      <c r="E25" s="6"/>
      <c r="F25" s="6"/>
      <c r="G25" s="7">
        <f>70000</f>
        <v>70000</v>
      </c>
      <c r="H25" s="6"/>
      <c r="I25" s="7">
        <f t="shared" si="0"/>
        <v>70000</v>
      </c>
    </row>
    <row r="26" spans="1:9" x14ac:dyDescent="0.35">
      <c r="A26" s="5" t="s">
        <v>125</v>
      </c>
      <c r="B26" s="8">
        <f t="shared" ref="B26:H26" si="5">(B24)+(B25)</f>
        <v>0</v>
      </c>
      <c r="C26" s="8">
        <f t="shared" si="5"/>
        <v>0</v>
      </c>
      <c r="D26" s="8">
        <f t="shared" si="5"/>
        <v>0</v>
      </c>
      <c r="E26" s="8">
        <f t="shared" si="5"/>
        <v>0</v>
      </c>
      <c r="F26" s="8">
        <f t="shared" si="5"/>
        <v>0</v>
      </c>
      <c r="G26" s="8">
        <f t="shared" si="5"/>
        <v>70000</v>
      </c>
      <c r="H26" s="8">
        <f t="shared" si="5"/>
        <v>0</v>
      </c>
      <c r="I26" s="8">
        <f t="shared" si="0"/>
        <v>70000</v>
      </c>
    </row>
    <row r="27" spans="1:9" x14ac:dyDescent="0.35">
      <c r="A27" s="5" t="s">
        <v>1</v>
      </c>
      <c r="B27" s="8">
        <f t="shared" ref="B27:H27" si="6">((((B9)+(B12))+(B20))+(B23))+(B26)</f>
        <v>42319.139999999992</v>
      </c>
      <c r="C27" s="8">
        <f t="shared" si="6"/>
        <v>11271.01</v>
      </c>
      <c r="D27" s="8">
        <f t="shared" si="6"/>
        <v>127571.64</v>
      </c>
      <c r="E27" s="8">
        <f t="shared" si="6"/>
        <v>155978.91000000003</v>
      </c>
      <c r="F27" s="8">
        <f t="shared" si="6"/>
        <v>277637.15999999997</v>
      </c>
      <c r="G27" s="8">
        <f t="shared" si="6"/>
        <v>113243.47</v>
      </c>
      <c r="H27" s="8">
        <f t="shared" si="6"/>
        <v>5072.6899999999996</v>
      </c>
      <c r="I27" s="8">
        <f t="shared" si="0"/>
        <v>733094.0199999999</v>
      </c>
    </row>
    <row r="28" spans="1:9" x14ac:dyDescent="0.35">
      <c r="A28" s="5" t="s">
        <v>8</v>
      </c>
      <c r="B28" s="8">
        <f t="shared" ref="B28:H28" si="7">(B27)-(0)</f>
        <v>42319.139999999992</v>
      </c>
      <c r="C28" s="8">
        <f t="shared" si="7"/>
        <v>11271.01</v>
      </c>
      <c r="D28" s="8">
        <f t="shared" si="7"/>
        <v>127571.64</v>
      </c>
      <c r="E28" s="8">
        <f t="shared" si="7"/>
        <v>155978.91000000003</v>
      </c>
      <c r="F28" s="8">
        <f t="shared" si="7"/>
        <v>277637.15999999997</v>
      </c>
      <c r="G28" s="8">
        <f t="shared" si="7"/>
        <v>113243.47</v>
      </c>
      <c r="H28" s="8">
        <f t="shared" si="7"/>
        <v>5072.6899999999996</v>
      </c>
      <c r="I28" s="8">
        <f t="shared" si="0"/>
        <v>733094.0199999999</v>
      </c>
    </row>
    <row r="29" spans="1:9" x14ac:dyDescent="0.35">
      <c r="A29" s="5" t="s">
        <v>9</v>
      </c>
      <c r="B29" s="6"/>
      <c r="C29" s="6"/>
      <c r="D29" s="6"/>
      <c r="E29" s="6"/>
      <c r="F29" s="6"/>
      <c r="G29" s="6"/>
      <c r="H29" s="6"/>
      <c r="I29" s="6"/>
    </row>
    <row r="30" spans="1:9" x14ac:dyDescent="0.35">
      <c r="A30" s="5" t="s">
        <v>51</v>
      </c>
      <c r="B30" s="6"/>
      <c r="C30" s="6"/>
      <c r="D30" s="6"/>
      <c r="E30" s="6"/>
      <c r="F30" s="6"/>
      <c r="G30" s="6"/>
      <c r="H30" s="6"/>
      <c r="I30" s="7">
        <f t="shared" ref="I30:I91" si="8">((((((B30)+(C30))+(D30))+(E30))+(F30))+(G30))+(H30)</f>
        <v>0</v>
      </c>
    </row>
    <row r="31" spans="1:9" x14ac:dyDescent="0.35">
      <c r="A31" s="5" t="s">
        <v>52</v>
      </c>
      <c r="B31" s="7">
        <f>16173.1</f>
        <v>16173.1</v>
      </c>
      <c r="C31" s="7">
        <f>18115.4</f>
        <v>18115.400000000001</v>
      </c>
      <c r="D31" s="7">
        <f>29403.83</f>
        <v>29403.83</v>
      </c>
      <c r="E31" s="7">
        <f>23365.38</f>
        <v>23365.38</v>
      </c>
      <c r="F31" s="7">
        <f>29124.88</f>
        <v>29124.880000000001</v>
      </c>
      <c r="G31" s="7">
        <f>30712.08</f>
        <v>30712.080000000002</v>
      </c>
      <c r="H31" s="7">
        <f>30354.24</f>
        <v>30354.240000000002</v>
      </c>
      <c r="I31" s="7">
        <f t="shared" si="8"/>
        <v>177248.91</v>
      </c>
    </row>
    <row r="32" spans="1:9" x14ac:dyDescent="0.35">
      <c r="A32" s="5" t="s">
        <v>53</v>
      </c>
      <c r="B32" s="7">
        <f>1225.66</f>
        <v>1225.6600000000001</v>
      </c>
      <c r="C32" s="7">
        <f>1374.24</f>
        <v>1374.24</v>
      </c>
      <c r="D32" s="7">
        <f>2237.8</f>
        <v>2237.8000000000002</v>
      </c>
      <c r="E32" s="7">
        <f>1775.86</f>
        <v>1775.86</v>
      </c>
      <c r="F32" s="7">
        <f>2216.48</f>
        <v>2216.48</v>
      </c>
      <c r="G32" s="7">
        <f>2337.92</f>
        <v>2337.92</v>
      </c>
      <c r="H32" s="7">
        <f>2305.51</f>
        <v>2305.5100000000002</v>
      </c>
      <c r="I32" s="7">
        <f t="shared" si="8"/>
        <v>13473.470000000001</v>
      </c>
    </row>
    <row r="33" spans="1:9" x14ac:dyDescent="0.35">
      <c r="A33" s="5" t="s">
        <v>54</v>
      </c>
      <c r="B33" s="7">
        <f>97.01</f>
        <v>97.01</v>
      </c>
      <c r="C33" s="7">
        <f>65.46</f>
        <v>65.459999999999994</v>
      </c>
      <c r="D33" s="7">
        <f>81.32</f>
        <v>81.319999999999993</v>
      </c>
      <c r="E33" s="7">
        <f>45.37</f>
        <v>45.37</v>
      </c>
      <c r="F33" s="7">
        <f>66.4</f>
        <v>66.400000000000006</v>
      </c>
      <c r="G33" s="7">
        <f>57.45</f>
        <v>57.45</v>
      </c>
      <c r="H33" s="7">
        <f>44.62</f>
        <v>44.62</v>
      </c>
      <c r="I33" s="7">
        <f t="shared" si="8"/>
        <v>457.62999999999994</v>
      </c>
    </row>
    <row r="34" spans="1:9" x14ac:dyDescent="0.35">
      <c r="A34" s="5" t="s">
        <v>55</v>
      </c>
      <c r="B34" s="7">
        <f>856.85</f>
        <v>856.85</v>
      </c>
      <c r="C34" s="7">
        <f>856.85</f>
        <v>856.85</v>
      </c>
      <c r="D34" s="7">
        <f>2151.85</f>
        <v>2151.85</v>
      </c>
      <c r="E34" s="7">
        <f>2167.73</f>
        <v>2167.73</v>
      </c>
      <c r="F34" s="7">
        <f>1293.81</f>
        <v>1293.81</v>
      </c>
      <c r="G34" s="7">
        <f>1293.81</f>
        <v>1293.81</v>
      </c>
      <c r="H34" s="7">
        <f>989.39</f>
        <v>989.39</v>
      </c>
      <c r="I34" s="7">
        <f t="shared" si="8"/>
        <v>9610.2899999999991</v>
      </c>
    </row>
    <row r="35" spans="1:9" x14ac:dyDescent="0.35">
      <c r="A35" s="5" t="s">
        <v>56</v>
      </c>
      <c r="B35" s="7">
        <f>475</f>
        <v>475</v>
      </c>
      <c r="C35" s="6"/>
      <c r="D35" s="7">
        <f>840</f>
        <v>840</v>
      </c>
      <c r="E35" s="6"/>
      <c r="F35" s="6"/>
      <c r="G35" s="7">
        <f>89</f>
        <v>89</v>
      </c>
      <c r="H35" s="7">
        <f>199</f>
        <v>199</v>
      </c>
      <c r="I35" s="7">
        <f t="shared" si="8"/>
        <v>1603</v>
      </c>
    </row>
    <row r="36" spans="1:9" x14ac:dyDescent="0.35">
      <c r="A36" s="5" t="s">
        <v>57</v>
      </c>
      <c r="B36" s="8">
        <f t="shared" ref="B36:H36" si="9">(((((B30)+(B31))+(B32))+(B33))+(B34))+(B35)</f>
        <v>18827.62</v>
      </c>
      <c r="C36" s="8">
        <f t="shared" si="9"/>
        <v>20411.95</v>
      </c>
      <c r="D36" s="8">
        <f t="shared" si="9"/>
        <v>34714.800000000003</v>
      </c>
      <c r="E36" s="8">
        <f t="shared" si="9"/>
        <v>27354.34</v>
      </c>
      <c r="F36" s="8">
        <f t="shared" si="9"/>
        <v>32701.570000000003</v>
      </c>
      <c r="G36" s="8">
        <f t="shared" si="9"/>
        <v>34490.259999999995</v>
      </c>
      <c r="H36" s="8">
        <f t="shared" si="9"/>
        <v>33892.76</v>
      </c>
      <c r="I36" s="8">
        <f t="shared" si="8"/>
        <v>202393.3</v>
      </c>
    </row>
    <row r="37" spans="1:9" x14ac:dyDescent="0.35">
      <c r="A37" s="5" t="s">
        <v>58</v>
      </c>
      <c r="B37" s="6"/>
      <c r="C37" s="6"/>
      <c r="D37" s="6"/>
      <c r="E37" s="6"/>
      <c r="F37" s="6"/>
      <c r="G37" s="6"/>
      <c r="H37" s="6"/>
      <c r="I37" s="7">
        <f t="shared" si="8"/>
        <v>0</v>
      </c>
    </row>
    <row r="38" spans="1:9" x14ac:dyDescent="0.35">
      <c r="A38" s="5" t="s">
        <v>115</v>
      </c>
      <c r="B38" s="6"/>
      <c r="C38" s="6"/>
      <c r="D38" s="6"/>
      <c r="E38" s="6"/>
      <c r="F38" s="6"/>
      <c r="G38" s="7">
        <f>200</f>
        <v>200</v>
      </c>
      <c r="H38" s="6"/>
      <c r="I38" s="7">
        <f t="shared" si="8"/>
        <v>200</v>
      </c>
    </row>
    <row r="39" spans="1:9" x14ac:dyDescent="0.35">
      <c r="A39" s="5" t="s">
        <v>59</v>
      </c>
      <c r="B39" s="7">
        <f>11900</f>
        <v>11900</v>
      </c>
      <c r="C39" s="7">
        <f>1519.92</f>
        <v>1519.92</v>
      </c>
      <c r="D39" s="7">
        <f>1174.92</f>
        <v>1174.92</v>
      </c>
      <c r="E39" s="7">
        <f>1364.55</f>
        <v>1364.55</v>
      </c>
      <c r="F39" s="7">
        <f>75</f>
        <v>75</v>
      </c>
      <c r="G39" s="7">
        <f>4000</f>
        <v>4000</v>
      </c>
      <c r="H39" s="7">
        <f>0</f>
        <v>0</v>
      </c>
      <c r="I39" s="7">
        <f t="shared" si="8"/>
        <v>20034.39</v>
      </c>
    </row>
    <row r="40" spans="1:9" x14ac:dyDescent="0.35">
      <c r="A40" s="5" t="s">
        <v>116</v>
      </c>
      <c r="B40" s="6"/>
      <c r="C40" s="6"/>
      <c r="D40" s="7">
        <f>190</f>
        <v>190</v>
      </c>
      <c r="E40" s="6"/>
      <c r="F40" s="6"/>
      <c r="G40" s="6"/>
      <c r="H40" s="7">
        <f>0</f>
        <v>0</v>
      </c>
      <c r="I40" s="7">
        <f t="shared" si="8"/>
        <v>190</v>
      </c>
    </row>
    <row r="41" spans="1:9" x14ac:dyDescent="0.35">
      <c r="A41" s="5" t="s">
        <v>60</v>
      </c>
      <c r="B41" s="7">
        <f>3152.83</f>
        <v>3152.83</v>
      </c>
      <c r="C41" s="7">
        <f>5503</f>
        <v>5503</v>
      </c>
      <c r="D41" s="7">
        <f>2690.26</f>
        <v>2690.26</v>
      </c>
      <c r="E41" s="7">
        <f>2951.63</f>
        <v>2951.63</v>
      </c>
      <c r="F41" s="7">
        <f>2500.27</f>
        <v>2500.27</v>
      </c>
      <c r="G41" s="7">
        <f>4915.12</f>
        <v>4915.12</v>
      </c>
      <c r="H41" s="7">
        <f>2479.87</f>
        <v>2479.87</v>
      </c>
      <c r="I41" s="7">
        <f t="shared" si="8"/>
        <v>24192.98</v>
      </c>
    </row>
    <row r="42" spans="1:9" x14ac:dyDescent="0.35">
      <c r="A42" s="5" t="s">
        <v>61</v>
      </c>
      <c r="B42" s="7">
        <f>409</f>
        <v>409</v>
      </c>
      <c r="C42" s="7">
        <f>275.5</f>
        <v>275.5</v>
      </c>
      <c r="D42" s="7">
        <f>306</f>
        <v>306</v>
      </c>
      <c r="E42" s="7">
        <f>219</f>
        <v>219</v>
      </c>
      <c r="F42" s="7">
        <f>-196</f>
        <v>-196</v>
      </c>
      <c r="G42" s="7">
        <f>221.5</f>
        <v>221.5</v>
      </c>
      <c r="H42" s="7">
        <f>232.25</f>
        <v>232.25</v>
      </c>
      <c r="I42" s="7">
        <f t="shared" si="8"/>
        <v>1467.25</v>
      </c>
    </row>
    <row r="43" spans="1:9" x14ac:dyDescent="0.35">
      <c r="A43" s="5" t="s">
        <v>62</v>
      </c>
      <c r="B43" s="8">
        <f t="shared" ref="B43:H43" si="10">(((((B37)+(B38))+(B39))+(B40))+(B41))+(B42)</f>
        <v>15461.83</v>
      </c>
      <c r="C43" s="8">
        <f t="shared" si="10"/>
        <v>7298.42</v>
      </c>
      <c r="D43" s="8">
        <f t="shared" si="10"/>
        <v>4361.18</v>
      </c>
      <c r="E43" s="8">
        <f t="shared" si="10"/>
        <v>4535.18</v>
      </c>
      <c r="F43" s="8">
        <f t="shared" si="10"/>
        <v>2379.27</v>
      </c>
      <c r="G43" s="8">
        <f t="shared" si="10"/>
        <v>9336.619999999999</v>
      </c>
      <c r="H43" s="8">
        <f t="shared" si="10"/>
        <v>2712.12</v>
      </c>
      <c r="I43" s="8">
        <f t="shared" si="8"/>
        <v>46084.62</v>
      </c>
    </row>
    <row r="44" spans="1:9" x14ac:dyDescent="0.35">
      <c r="A44" s="5" t="s">
        <v>63</v>
      </c>
      <c r="B44" s="6"/>
      <c r="C44" s="6"/>
      <c r="D44" s="6"/>
      <c r="E44" s="6"/>
      <c r="F44" s="6"/>
      <c r="G44" s="6"/>
      <c r="H44" s="6"/>
      <c r="I44" s="7">
        <f t="shared" si="8"/>
        <v>0</v>
      </c>
    </row>
    <row r="45" spans="1:9" x14ac:dyDescent="0.35">
      <c r="A45" s="5" t="s">
        <v>64</v>
      </c>
      <c r="B45" s="7">
        <f>8100</f>
        <v>8100</v>
      </c>
      <c r="C45" s="7">
        <f>20000</f>
        <v>20000</v>
      </c>
      <c r="D45" s="6"/>
      <c r="E45" s="6"/>
      <c r="F45" s="7">
        <f>1300</f>
        <v>1300</v>
      </c>
      <c r="G45" s="6"/>
      <c r="H45" s="6"/>
      <c r="I45" s="7">
        <f t="shared" si="8"/>
        <v>29400</v>
      </c>
    </row>
    <row r="46" spans="1:9" x14ac:dyDescent="0.35">
      <c r="A46" s="5" t="s">
        <v>65</v>
      </c>
      <c r="B46" s="6"/>
      <c r="C46" s="6"/>
      <c r="D46" s="6"/>
      <c r="E46" s="6"/>
      <c r="F46" s="7">
        <f>121783</f>
        <v>121783</v>
      </c>
      <c r="G46" s="6"/>
      <c r="H46" s="6"/>
      <c r="I46" s="7">
        <f t="shared" si="8"/>
        <v>121783</v>
      </c>
    </row>
    <row r="47" spans="1:9" x14ac:dyDescent="0.35">
      <c r="A47" s="5" t="s">
        <v>114</v>
      </c>
      <c r="B47" s="6"/>
      <c r="C47" s="6"/>
      <c r="D47" s="7">
        <f>-1465</f>
        <v>-1465</v>
      </c>
      <c r="E47" s="6"/>
      <c r="F47" s="6"/>
      <c r="G47" s="6"/>
      <c r="H47" s="6"/>
      <c r="I47" s="7">
        <f t="shared" si="8"/>
        <v>-1465</v>
      </c>
    </row>
    <row r="48" spans="1:9" x14ac:dyDescent="0.35">
      <c r="A48" s="5" t="s">
        <v>66</v>
      </c>
      <c r="B48" s="7">
        <f>-20</f>
        <v>-20</v>
      </c>
      <c r="C48" s="6"/>
      <c r="D48" s="7">
        <f>36</f>
        <v>36</v>
      </c>
      <c r="E48" s="7">
        <f>10</f>
        <v>10</v>
      </c>
      <c r="F48" s="7">
        <f>19</f>
        <v>19</v>
      </c>
      <c r="G48" s="7">
        <f>298.01</f>
        <v>298.01</v>
      </c>
      <c r="H48" s="7">
        <f>4</f>
        <v>4</v>
      </c>
      <c r="I48" s="7">
        <f t="shared" si="8"/>
        <v>347.01</v>
      </c>
    </row>
    <row r="49" spans="1:9" x14ac:dyDescent="0.35">
      <c r="A49" s="5" t="s">
        <v>67</v>
      </c>
      <c r="B49" s="7">
        <f>26.22</f>
        <v>26.22</v>
      </c>
      <c r="C49" s="7">
        <f>47.11</f>
        <v>47.11</v>
      </c>
      <c r="D49" s="7">
        <f>247.81</f>
        <v>247.81</v>
      </c>
      <c r="E49" s="7">
        <f>148.01</f>
        <v>148.01</v>
      </c>
      <c r="F49" s="7">
        <f>654.44</f>
        <v>654.44000000000005</v>
      </c>
      <c r="G49" s="7">
        <f>1453.01</f>
        <v>1453.01</v>
      </c>
      <c r="H49" s="7">
        <f>172.34</f>
        <v>172.34</v>
      </c>
      <c r="I49" s="7">
        <f t="shared" si="8"/>
        <v>2748.9400000000005</v>
      </c>
    </row>
    <row r="50" spans="1:9" x14ac:dyDescent="0.35">
      <c r="A50" s="5" t="s">
        <v>117</v>
      </c>
      <c r="B50" s="6"/>
      <c r="C50" s="6"/>
      <c r="D50" s="6"/>
      <c r="E50" s="6"/>
      <c r="F50" s="7">
        <f>779.8</f>
        <v>779.8</v>
      </c>
      <c r="G50" s="7">
        <f>356.54</f>
        <v>356.54</v>
      </c>
      <c r="H50" s="7">
        <f>-313.72</f>
        <v>-313.72000000000003</v>
      </c>
      <c r="I50" s="7">
        <f t="shared" si="8"/>
        <v>822.61999999999989</v>
      </c>
    </row>
    <row r="51" spans="1:9" x14ac:dyDescent="0.35">
      <c r="A51" s="5" t="s">
        <v>68</v>
      </c>
      <c r="B51" s="8">
        <f t="shared" ref="B51:H51" si="11">((((((B44)+(B45))+(B46))+(B47))+(B48))+(B49))+(B50)</f>
        <v>8106.22</v>
      </c>
      <c r="C51" s="8">
        <f t="shared" si="11"/>
        <v>20047.11</v>
      </c>
      <c r="D51" s="8">
        <f t="shared" si="11"/>
        <v>-1181.19</v>
      </c>
      <c r="E51" s="8">
        <f t="shared" si="11"/>
        <v>158.01</v>
      </c>
      <c r="F51" s="8">
        <f t="shared" si="11"/>
        <v>124536.24</v>
      </c>
      <c r="G51" s="8">
        <f t="shared" si="11"/>
        <v>2107.56</v>
      </c>
      <c r="H51" s="8">
        <f t="shared" si="11"/>
        <v>-137.38000000000002</v>
      </c>
      <c r="I51" s="8">
        <f t="shared" si="8"/>
        <v>153636.57</v>
      </c>
    </row>
    <row r="52" spans="1:9" ht="22" x14ac:dyDescent="0.35">
      <c r="A52" s="5" t="s">
        <v>69</v>
      </c>
      <c r="B52" s="6"/>
      <c r="C52" s="6"/>
      <c r="D52" s="6"/>
      <c r="E52" s="6"/>
      <c r="F52" s="6"/>
      <c r="G52" s="6"/>
      <c r="H52" s="6"/>
      <c r="I52" s="7">
        <f t="shared" si="8"/>
        <v>0</v>
      </c>
    </row>
    <row r="53" spans="1:9" x14ac:dyDescent="0.35">
      <c r="A53" s="5" t="s">
        <v>70</v>
      </c>
      <c r="B53" s="6"/>
      <c r="C53" s="6"/>
      <c r="D53" s="7">
        <f>0</f>
        <v>0</v>
      </c>
      <c r="E53" s="7">
        <f>102</f>
        <v>102</v>
      </c>
      <c r="F53" s="6"/>
      <c r="G53" s="6"/>
      <c r="H53" s="6"/>
      <c r="I53" s="7">
        <f t="shared" si="8"/>
        <v>102</v>
      </c>
    </row>
    <row r="54" spans="1:9" x14ac:dyDescent="0.35">
      <c r="A54" s="5" t="s">
        <v>71</v>
      </c>
      <c r="B54" s="6"/>
      <c r="C54" s="6"/>
      <c r="D54" s="6"/>
      <c r="E54" s="7">
        <f>93498.57</f>
        <v>93498.57</v>
      </c>
      <c r="F54" s="7">
        <f>120</f>
        <v>120</v>
      </c>
      <c r="G54" s="7">
        <f>-780.54</f>
        <v>-780.54</v>
      </c>
      <c r="H54" s="6"/>
      <c r="I54" s="7">
        <f t="shared" si="8"/>
        <v>92838.030000000013</v>
      </c>
    </row>
    <row r="55" spans="1:9" x14ac:dyDescent="0.35">
      <c r="A55" s="5" t="s">
        <v>118</v>
      </c>
      <c r="B55" s="6"/>
      <c r="C55" s="6"/>
      <c r="D55" s="6"/>
      <c r="E55" s="6"/>
      <c r="F55" s="7">
        <f>4837.9</f>
        <v>4837.8999999999996</v>
      </c>
      <c r="G55" s="7">
        <f>154.87</f>
        <v>154.87</v>
      </c>
      <c r="H55" s="6"/>
      <c r="I55" s="7">
        <f t="shared" si="8"/>
        <v>4992.7699999999995</v>
      </c>
    </row>
    <row r="56" spans="1:9" x14ac:dyDescent="0.35">
      <c r="A56" s="5" t="s">
        <v>72</v>
      </c>
      <c r="B56" s="6"/>
      <c r="C56" s="6"/>
      <c r="D56" s="7">
        <f>825</f>
        <v>825</v>
      </c>
      <c r="E56" s="7">
        <f>250</f>
        <v>250</v>
      </c>
      <c r="F56" s="7">
        <f>225</f>
        <v>225</v>
      </c>
      <c r="G56" s="6"/>
      <c r="H56" s="6"/>
      <c r="I56" s="7">
        <f t="shared" si="8"/>
        <v>1300</v>
      </c>
    </row>
    <row r="57" spans="1:9" x14ac:dyDescent="0.35">
      <c r="A57" s="5" t="s">
        <v>73</v>
      </c>
      <c r="B57" s="6"/>
      <c r="C57" s="6"/>
      <c r="D57" s="7">
        <f>4750</f>
        <v>4750</v>
      </c>
      <c r="E57" s="7">
        <f>8264.46</f>
        <v>8264.4599999999991</v>
      </c>
      <c r="F57" s="7">
        <f>6750</f>
        <v>6750</v>
      </c>
      <c r="G57" s="6"/>
      <c r="H57" s="6"/>
      <c r="I57" s="7">
        <f t="shared" si="8"/>
        <v>19764.46</v>
      </c>
    </row>
    <row r="58" spans="1:9" x14ac:dyDescent="0.35">
      <c r="A58" s="5" t="s">
        <v>74</v>
      </c>
      <c r="B58" s="6"/>
      <c r="C58" s="6"/>
      <c r="D58" s="6"/>
      <c r="E58" s="6"/>
      <c r="F58" s="7">
        <f>524.63</f>
        <v>524.63</v>
      </c>
      <c r="G58" s="6"/>
      <c r="H58" s="6"/>
      <c r="I58" s="7">
        <f t="shared" si="8"/>
        <v>524.63</v>
      </c>
    </row>
    <row r="59" spans="1:9" x14ac:dyDescent="0.35">
      <c r="A59" s="5" t="s">
        <v>75</v>
      </c>
      <c r="B59" s="6"/>
      <c r="C59" s="6"/>
      <c r="D59" s="7">
        <f>3000</f>
        <v>3000</v>
      </c>
      <c r="E59" s="7">
        <f>16996.08</f>
        <v>16996.080000000002</v>
      </c>
      <c r="F59" s="7">
        <f>25496.5</f>
        <v>25496.5</v>
      </c>
      <c r="G59" s="6"/>
      <c r="H59" s="6"/>
      <c r="I59" s="7">
        <f t="shared" si="8"/>
        <v>45492.58</v>
      </c>
    </row>
    <row r="60" spans="1:9" x14ac:dyDescent="0.35">
      <c r="A60" s="5" t="s">
        <v>76</v>
      </c>
      <c r="B60" s="6"/>
      <c r="C60" s="6"/>
      <c r="D60" s="7">
        <f>951.53</f>
        <v>951.53</v>
      </c>
      <c r="E60" s="6"/>
      <c r="F60" s="6"/>
      <c r="G60" s="7">
        <f>9.6</f>
        <v>9.6</v>
      </c>
      <c r="H60" s="6"/>
      <c r="I60" s="7">
        <f t="shared" si="8"/>
        <v>961.13</v>
      </c>
    </row>
    <row r="61" spans="1:9" x14ac:dyDescent="0.35">
      <c r="A61" s="5" t="s">
        <v>77</v>
      </c>
      <c r="B61" s="6"/>
      <c r="C61" s="6"/>
      <c r="D61" s="7">
        <f>3784</f>
        <v>3784</v>
      </c>
      <c r="E61" s="7">
        <f>2028</f>
        <v>2028</v>
      </c>
      <c r="F61" s="6"/>
      <c r="G61" s="6"/>
      <c r="H61" s="6"/>
      <c r="I61" s="7">
        <f t="shared" si="8"/>
        <v>5812</v>
      </c>
    </row>
    <row r="62" spans="1:9" ht="22" x14ac:dyDescent="0.35">
      <c r="A62" s="5" t="s">
        <v>78</v>
      </c>
      <c r="B62" s="8">
        <f t="shared" ref="B62:H62" si="12">(((((((((B52)+(B53))+(B54))+(B55))+(B56))+(B57))+(B58))+(B59))+(B60))+(B61)</f>
        <v>0</v>
      </c>
      <c r="C62" s="8">
        <f t="shared" si="12"/>
        <v>0</v>
      </c>
      <c r="D62" s="8">
        <f t="shared" si="12"/>
        <v>13310.53</v>
      </c>
      <c r="E62" s="8">
        <f t="shared" si="12"/>
        <v>121139.11</v>
      </c>
      <c r="F62" s="8">
        <f t="shared" si="12"/>
        <v>37954.03</v>
      </c>
      <c r="G62" s="8">
        <f t="shared" si="12"/>
        <v>-616.06999999999994</v>
      </c>
      <c r="H62" s="8">
        <f t="shared" si="12"/>
        <v>0</v>
      </c>
      <c r="I62" s="8">
        <f t="shared" si="8"/>
        <v>171787.6</v>
      </c>
    </row>
    <row r="63" spans="1:9" x14ac:dyDescent="0.35">
      <c r="A63" s="5" t="s">
        <v>79</v>
      </c>
      <c r="B63" s="6"/>
      <c r="C63" s="6"/>
      <c r="D63" s="6"/>
      <c r="E63" s="6"/>
      <c r="F63" s="6"/>
      <c r="G63" s="6"/>
      <c r="H63" s="6"/>
      <c r="I63" s="7">
        <f t="shared" si="8"/>
        <v>0</v>
      </c>
    </row>
    <row r="64" spans="1:9" x14ac:dyDescent="0.35">
      <c r="A64" s="5" t="s">
        <v>80</v>
      </c>
      <c r="B64" s="7">
        <f t="shared" ref="B64:H64" si="13">2224.55</f>
        <v>2224.5500000000002</v>
      </c>
      <c r="C64" s="7">
        <f t="shared" si="13"/>
        <v>2224.5500000000002</v>
      </c>
      <c r="D64" s="7">
        <f t="shared" si="13"/>
        <v>2224.5500000000002</v>
      </c>
      <c r="E64" s="7">
        <f t="shared" si="13"/>
        <v>2224.5500000000002</v>
      </c>
      <c r="F64" s="7">
        <f t="shared" si="13"/>
        <v>2224.5500000000002</v>
      </c>
      <c r="G64" s="7">
        <f t="shared" si="13"/>
        <v>2224.5500000000002</v>
      </c>
      <c r="H64" s="7">
        <f t="shared" si="13"/>
        <v>2224.5500000000002</v>
      </c>
      <c r="I64" s="7">
        <f t="shared" si="8"/>
        <v>15571.849999999999</v>
      </c>
    </row>
    <row r="65" spans="1:9" x14ac:dyDescent="0.35">
      <c r="A65" s="5" t="s">
        <v>81</v>
      </c>
      <c r="B65" s="7">
        <f>921.62</f>
        <v>921.62</v>
      </c>
      <c r="C65" s="7">
        <f>201.91</f>
        <v>201.91</v>
      </c>
      <c r="D65" s="7">
        <f>650.38</f>
        <v>650.38</v>
      </c>
      <c r="E65" s="7">
        <f>1156.13</f>
        <v>1156.1300000000001</v>
      </c>
      <c r="F65" s="7">
        <f>892.49</f>
        <v>892.49</v>
      </c>
      <c r="G65" s="7">
        <f>467.42</f>
        <v>467.42</v>
      </c>
      <c r="H65" s="7">
        <f>674.65</f>
        <v>674.65</v>
      </c>
      <c r="I65" s="7">
        <f t="shared" si="8"/>
        <v>4964.5999999999995</v>
      </c>
    </row>
    <row r="66" spans="1:9" x14ac:dyDescent="0.35">
      <c r="A66" s="5" t="s">
        <v>82</v>
      </c>
      <c r="B66" s="7">
        <f>502.13</f>
        <v>502.13</v>
      </c>
      <c r="C66" s="7">
        <f>528.38</f>
        <v>528.38</v>
      </c>
      <c r="D66" s="7">
        <f>356.08</f>
        <v>356.08</v>
      </c>
      <c r="E66" s="7">
        <f>889.5</f>
        <v>889.5</v>
      </c>
      <c r="F66" s="7">
        <f>628</f>
        <v>628</v>
      </c>
      <c r="G66" s="7">
        <f>3515.5</f>
        <v>3515.5</v>
      </c>
      <c r="H66" s="7">
        <f>1040.5</f>
        <v>1040.5</v>
      </c>
      <c r="I66" s="7">
        <f t="shared" si="8"/>
        <v>7460.09</v>
      </c>
    </row>
    <row r="67" spans="1:9" x14ac:dyDescent="0.35">
      <c r="A67" s="5" t="s">
        <v>133</v>
      </c>
      <c r="B67" s="7">
        <f>405</f>
        <v>405</v>
      </c>
      <c r="C67" s="6"/>
      <c r="D67" s="7">
        <f>303.75</f>
        <v>303.75</v>
      </c>
      <c r="E67" s="7">
        <f>168.75</f>
        <v>168.75</v>
      </c>
      <c r="F67" s="7">
        <f>641.25</f>
        <v>641.25</v>
      </c>
      <c r="G67" s="7">
        <f>1181.25</f>
        <v>1181.25</v>
      </c>
      <c r="H67" s="7">
        <f>101.26</f>
        <v>101.26</v>
      </c>
      <c r="I67" s="7">
        <f t="shared" si="8"/>
        <v>2801.26</v>
      </c>
    </row>
    <row r="68" spans="1:9" x14ac:dyDescent="0.35">
      <c r="A68" s="5" t="s">
        <v>83</v>
      </c>
      <c r="B68" s="6"/>
      <c r="C68" s="7">
        <f>48.11</f>
        <v>48.11</v>
      </c>
      <c r="D68" s="7">
        <f>34.53</f>
        <v>34.53</v>
      </c>
      <c r="E68" s="7">
        <f>82.67</f>
        <v>82.67</v>
      </c>
      <c r="F68" s="7">
        <f>115.27</f>
        <v>115.27</v>
      </c>
      <c r="G68" s="6"/>
      <c r="H68" s="7">
        <f>53.91</f>
        <v>53.91</v>
      </c>
      <c r="I68" s="7">
        <f t="shared" si="8"/>
        <v>334.49</v>
      </c>
    </row>
    <row r="69" spans="1:9" x14ac:dyDescent="0.35">
      <c r="A69" s="5" t="s">
        <v>84</v>
      </c>
      <c r="B69" s="7">
        <f>36.24</f>
        <v>36.24</v>
      </c>
      <c r="C69" s="6"/>
      <c r="D69" s="6"/>
      <c r="E69" s="7">
        <f>94.05</f>
        <v>94.05</v>
      </c>
      <c r="F69" s="7">
        <f>166</f>
        <v>166</v>
      </c>
      <c r="G69" s="7">
        <f>75.3</f>
        <v>75.3</v>
      </c>
      <c r="H69" s="7">
        <f>0</f>
        <v>0</v>
      </c>
      <c r="I69" s="7">
        <f t="shared" si="8"/>
        <v>371.59</v>
      </c>
    </row>
    <row r="70" spans="1:9" x14ac:dyDescent="0.35">
      <c r="A70" s="5" t="s">
        <v>85</v>
      </c>
      <c r="B70" s="7">
        <f>309.46</f>
        <v>309.45999999999998</v>
      </c>
      <c r="C70" s="7">
        <f>58.2</f>
        <v>58.2</v>
      </c>
      <c r="D70" s="6"/>
      <c r="E70" s="6"/>
      <c r="F70" s="6"/>
      <c r="G70" s="7">
        <f>549</f>
        <v>549</v>
      </c>
      <c r="H70" s="7">
        <f>0</f>
        <v>0</v>
      </c>
      <c r="I70" s="7">
        <f t="shared" si="8"/>
        <v>916.66</v>
      </c>
    </row>
    <row r="71" spans="1:9" x14ac:dyDescent="0.35">
      <c r="A71" s="5" t="s">
        <v>86</v>
      </c>
      <c r="B71" s="7">
        <f>184.09</f>
        <v>184.09</v>
      </c>
      <c r="C71" s="7">
        <f>138.6</f>
        <v>138.6</v>
      </c>
      <c r="D71" s="7">
        <f>473.45</f>
        <v>473.45</v>
      </c>
      <c r="E71" s="7">
        <f>531.99</f>
        <v>531.99</v>
      </c>
      <c r="F71" s="7">
        <f>939.35</f>
        <v>939.35</v>
      </c>
      <c r="G71" s="7">
        <f>1330.35</f>
        <v>1330.35</v>
      </c>
      <c r="H71" s="7">
        <f>968.35</f>
        <v>968.35</v>
      </c>
      <c r="I71" s="7">
        <f t="shared" si="8"/>
        <v>4566.18</v>
      </c>
    </row>
    <row r="72" spans="1:9" x14ac:dyDescent="0.35">
      <c r="A72" s="5" t="s">
        <v>87</v>
      </c>
      <c r="B72" s="8">
        <f t="shared" ref="B72:H72" si="14">((((((((B63)+(B64))+(B65))+(B66))+(B67))+(B68))+(B69))+(B70))+(B71)</f>
        <v>4583.09</v>
      </c>
      <c r="C72" s="8">
        <f t="shared" si="14"/>
        <v>3199.75</v>
      </c>
      <c r="D72" s="8">
        <f t="shared" si="14"/>
        <v>4042.7400000000002</v>
      </c>
      <c r="E72" s="8">
        <f t="shared" si="14"/>
        <v>5147.6400000000003</v>
      </c>
      <c r="F72" s="8">
        <f t="shared" si="14"/>
        <v>5606.9100000000008</v>
      </c>
      <c r="G72" s="8">
        <f t="shared" si="14"/>
        <v>9343.3700000000008</v>
      </c>
      <c r="H72" s="8">
        <f t="shared" si="14"/>
        <v>5063.22</v>
      </c>
      <c r="I72" s="8">
        <f t="shared" si="8"/>
        <v>36986.720000000001</v>
      </c>
    </row>
    <row r="73" spans="1:9" x14ac:dyDescent="0.35">
      <c r="A73" s="5" t="s">
        <v>88</v>
      </c>
      <c r="B73" s="6"/>
      <c r="C73" s="6"/>
      <c r="D73" s="6"/>
      <c r="E73" s="6"/>
      <c r="F73" s="6"/>
      <c r="G73" s="6"/>
      <c r="H73" s="6"/>
      <c r="I73" s="7">
        <f t="shared" si="8"/>
        <v>0</v>
      </c>
    </row>
    <row r="74" spans="1:9" x14ac:dyDescent="0.35">
      <c r="A74" s="5" t="s">
        <v>119</v>
      </c>
      <c r="B74" s="6"/>
      <c r="C74" s="6"/>
      <c r="D74" s="7">
        <f>2000</f>
        <v>2000</v>
      </c>
      <c r="E74" s="6"/>
      <c r="F74" s="6"/>
      <c r="G74" s="6"/>
      <c r="H74" s="7">
        <f>6500</f>
        <v>6500</v>
      </c>
      <c r="I74" s="7">
        <f t="shared" si="8"/>
        <v>8500</v>
      </c>
    </row>
    <row r="75" spans="1:9" x14ac:dyDescent="0.35">
      <c r="A75" s="5" t="s">
        <v>89</v>
      </c>
      <c r="B75" s="6"/>
      <c r="C75" s="7">
        <f>337.5</f>
        <v>337.5</v>
      </c>
      <c r="D75" s="7">
        <f>375</f>
        <v>375</v>
      </c>
      <c r="E75" s="6"/>
      <c r="F75" s="7">
        <f>918.75</f>
        <v>918.75</v>
      </c>
      <c r="G75" s="7">
        <f>187.5</f>
        <v>187.5</v>
      </c>
      <c r="H75" s="7">
        <f>37.51</f>
        <v>37.51</v>
      </c>
      <c r="I75" s="7">
        <f t="shared" si="8"/>
        <v>1856.26</v>
      </c>
    </row>
    <row r="76" spans="1:9" x14ac:dyDescent="0.35">
      <c r="A76" s="5" t="s">
        <v>90</v>
      </c>
      <c r="B76" s="7">
        <f>225</f>
        <v>225</v>
      </c>
      <c r="C76" s="7">
        <f>225</f>
        <v>225</v>
      </c>
      <c r="D76" s="7">
        <f>225</f>
        <v>225</v>
      </c>
      <c r="E76" s="7">
        <f>225</f>
        <v>225</v>
      </c>
      <c r="F76" s="7">
        <f>725</f>
        <v>725</v>
      </c>
      <c r="G76" s="7">
        <f>225</f>
        <v>225</v>
      </c>
      <c r="H76" s="7">
        <f>425</f>
        <v>425</v>
      </c>
      <c r="I76" s="7">
        <f t="shared" si="8"/>
        <v>2275</v>
      </c>
    </row>
    <row r="77" spans="1:9" x14ac:dyDescent="0.35">
      <c r="A77" s="5" t="s">
        <v>113</v>
      </c>
      <c r="B77" s="6"/>
      <c r="C77" s="7">
        <f>296.38</f>
        <v>296.38</v>
      </c>
      <c r="D77" s="6"/>
      <c r="E77" s="6"/>
      <c r="F77" s="6"/>
      <c r="G77" s="6"/>
      <c r="H77" s="7">
        <f>-0.01</f>
        <v>-0.01</v>
      </c>
      <c r="I77" s="7">
        <f t="shared" si="8"/>
        <v>296.37</v>
      </c>
    </row>
    <row r="78" spans="1:9" x14ac:dyDescent="0.35">
      <c r="A78" s="5" t="s">
        <v>91</v>
      </c>
      <c r="B78" s="7">
        <f>168.87</f>
        <v>168.87</v>
      </c>
      <c r="C78" s="7">
        <f>263.56</f>
        <v>263.56</v>
      </c>
      <c r="D78" s="7">
        <f>373.82</f>
        <v>373.82</v>
      </c>
      <c r="E78" s="7">
        <f>538.28</f>
        <v>538.28</v>
      </c>
      <c r="F78" s="7">
        <f>114.11</f>
        <v>114.11</v>
      </c>
      <c r="G78" s="7">
        <f>337.75</f>
        <v>337.75</v>
      </c>
      <c r="H78" s="7">
        <f>112.89</f>
        <v>112.89</v>
      </c>
      <c r="I78" s="7">
        <f t="shared" si="8"/>
        <v>1909.28</v>
      </c>
    </row>
    <row r="79" spans="1:9" x14ac:dyDescent="0.35">
      <c r="A79" s="5" t="s">
        <v>92</v>
      </c>
      <c r="B79" s="8">
        <f t="shared" ref="B79:H79" si="15">(((((B73)+(B74))+(B75))+(B76))+(B77))+(B78)</f>
        <v>393.87</v>
      </c>
      <c r="C79" s="8">
        <f t="shared" si="15"/>
        <v>1122.44</v>
      </c>
      <c r="D79" s="8">
        <f t="shared" si="15"/>
        <v>2973.82</v>
      </c>
      <c r="E79" s="8">
        <f t="shared" si="15"/>
        <v>763.28</v>
      </c>
      <c r="F79" s="8">
        <f t="shared" si="15"/>
        <v>1757.86</v>
      </c>
      <c r="G79" s="8">
        <f t="shared" si="15"/>
        <v>750.25</v>
      </c>
      <c r="H79" s="8">
        <f t="shared" si="15"/>
        <v>7075.39</v>
      </c>
      <c r="I79" s="8">
        <f t="shared" si="8"/>
        <v>14836.91</v>
      </c>
    </row>
    <row r="80" spans="1:9" x14ac:dyDescent="0.35">
      <c r="A80" s="5" t="s">
        <v>93</v>
      </c>
      <c r="B80" s="6"/>
      <c r="C80" s="6"/>
      <c r="D80" s="6"/>
      <c r="E80" s="6"/>
      <c r="F80" s="6"/>
      <c r="G80" s="6"/>
      <c r="H80" s="6"/>
      <c r="I80" s="7">
        <f t="shared" si="8"/>
        <v>0</v>
      </c>
    </row>
    <row r="81" spans="1:9" x14ac:dyDescent="0.35">
      <c r="A81" s="5" t="s">
        <v>94</v>
      </c>
      <c r="B81" s="7">
        <f>1181.38</f>
        <v>1181.3800000000001</v>
      </c>
      <c r="C81" s="7">
        <f>126.5</f>
        <v>126.5</v>
      </c>
      <c r="D81" s="7">
        <f>504.5</f>
        <v>504.5</v>
      </c>
      <c r="E81" s="7">
        <f>394.5</f>
        <v>394.5</v>
      </c>
      <c r="F81" s="7">
        <f>185.5</f>
        <v>185.5</v>
      </c>
      <c r="G81" s="7">
        <f>739</f>
        <v>739</v>
      </c>
      <c r="H81" s="7">
        <f>256.5</f>
        <v>256.5</v>
      </c>
      <c r="I81" s="7">
        <f t="shared" si="8"/>
        <v>3387.88</v>
      </c>
    </row>
    <row r="82" spans="1:9" x14ac:dyDescent="0.35">
      <c r="A82" s="5" t="s">
        <v>95</v>
      </c>
      <c r="B82" s="7">
        <f>176.99</f>
        <v>176.99</v>
      </c>
      <c r="C82" s="7">
        <f>269.47</f>
        <v>269.47000000000003</v>
      </c>
      <c r="D82" s="7">
        <f>37.5</f>
        <v>37.5</v>
      </c>
      <c r="E82" s="7">
        <f>36.6</f>
        <v>36.6</v>
      </c>
      <c r="F82" s="7">
        <f>182.95</f>
        <v>182.95</v>
      </c>
      <c r="G82" s="7">
        <f>42.85</f>
        <v>42.85</v>
      </c>
      <c r="H82" s="7">
        <f>75.21</f>
        <v>75.209999999999994</v>
      </c>
      <c r="I82" s="7">
        <f t="shared" si="8"/>
        <v>821.57</v>
      </c>
    </row>
    <row r="83" spans="1:9" x14ac:dyDescent="0.35">
      <c r="A83" s="5" t="s">
        <v>96</v>
      </c>
      <c r="B83" s="7">
        <f>254.6</f>
        <v>254.6</v>
      </c>
      <c r="C83" s="7">
        <f>176.41</f>
        <v>176.41</v>
      </c>
      <c r="D83" s="7">
        <f>381.81</f>
        <v>381.81</v>
      </c>
      <c r="E83" s="7">
        <f>906.98</f>
        <v>906.98</v>
      </c>
      <c r="F83" s="7">
        <f>5473.77</f>
        <v>5473.77</v>
      </c>
      <c r="G83" s="7">
        <f>355.03</f>
        <v>355.03</v>
      </c>
      <c r="H83" s="7">
        <f>169.43</f>
        <v>169.43</v>
      </c>
      <c r="I83" s="7">
        <f t="shared" si="8"/>
        <v>7718.0300000000007</v>
      </c>
    </row>
    <row r="84" spans="1:9" x14ac:dyDescent="0.35">
      <c r="A84" s="5" t="s">
        <v>97</v>
      </c>
      <c r="B84" s="8">
        <f t="shared" ref="B84:H84" si="16">(((B80)+(B81))+(B82))+(B83)</f>
        <v>1612.97</v>
      </c>
      <c r="C84" s="8">
        <f t="shared" si="16"/>
        <v>572.38</v>
      </c>
      <c r="D84" s="8">
        <f t="shared" si="16"/>
        <v>923.81</v>
      </c>
      <c r="E84" s="8">
        <f t="shared" si="16"/>
        <v>1338.08</v>
      </c>
      <c r="F84" s="8">
        <f t="shared" si="16"/>
        <v>5842.22</v>
      </c>
      <c r="G84" s="8">
        <f t="shared" si="16"/>
        <v>1136.8800000000001</v>
      </c>
      <c r="H84" s="8">
        <f t="shared" si="16"/>
        <v>501.14</v>
      </c>
      <c r="I84" s="8">
        <f t="shared" si="8"/>
        <v>11927.48</v>
      </c>
    </row>
    <row r="85" spans="1:9" x14ac:dyDescent="0.35">
      <c r="A85" s="5" t="s">
        <v>98</v>
      </c>
      <c r="B85" s="6"/>
      <c r="C85" s="6"/>
      <c r="D85" s="6"/>
      <c r="E85" s="6"/>
      <c r="F85" s="6"/>
      <c r="G85" s="6"/>
      <c r="H85" s="6"/>
      <c r="I85" s="7">
        <f t="shared" si="8"/>
        <v>0</v>
      </c>
    </row>
    <row r="86" spans="1:9" x14ac:dyDescent="0.35">
      <c r="A86" s="5" t="s">
        <v>99</v>
      </c>
      <c r="B86" s="6"/>
      <c r="C86" s="7">
        <f>15</f>
        <v>15</v>
      </c>
      <c r="D86" s="6"/>
      <c r="E86" s="6"/>
      <c r="F86" s="7">
        <f>481.73</f>
        <v>481.73</v>
      </c>
      <c r="G86" s="7">
        <f>-287.87</f>
        <v>-287.87</v>
      </c>
      <c r="H86" s="7">
        <f>0</f>
        <v>0</v>
      </c>
      <c r="I86" s="7">
        <f t="shared" si="8"/>
        <v>208.86</v>
      </c>
    </row>
    <row r="87" spans="1:9" x14ac:dyDescent="0.35">
      <c r="A87" s="5" t="s">
        <v>100</v>
      </c>
      <c r="B87" s="7">
        <f t="shared" ref="B87:G87" si="17">130.33</f>
        <v>130.33000000000001</v>
      </c>
      <c r="C87" s="7">
        <f t="shared" si="17"/>
        <v>130.33000000000001</v>
      </c>
      <c r="D87" s="7">
        <f t="shared" si="17"/>
        <v>130.33000000000001</v>
      </c>
      <c r="E87" s="7">
        <f t="shared" si="17"/>
        <v>130.33000000000001</v>
      </c>
      <c r="F87" s="7">
        <f t="shared" si="17"/>
        <v>130.33000000000001</v>
      </c>
      <c r="G87" s="7">
        <f t="shared" si="17"/>
        <v>130.33000000000001</v>
      </c>
      <c r="H87" s="7">
        <f>266.43</f>
        <v>266.43</v>
      </c>
      <c r="I87" s="7">
        <f t="shared" si="8"/>
        <v>1048.4100000000001</v>
      </c>
    </row>
    <row r="88" spans="1:9" x14ac:dyDescent="0.35">
      <c r="A88" s="5" t="s">
        <v>134</v>
      </c>
      <c r="B88" s="6"/>
      <c r="C88" s="6"/>
      <c r="D88" s="6"/>
      <c r="E88" s="6"/>
      <c r="F88" s="7">
        <f>48971</f>
        <v>48971</v>
      </c>
      <c r="G88" s="6"/>
      <c r="H88" s="6"/>
      <c r="I88" s="7">
        <f t="shared" si="8"/>
        <v>48971</v>
      </c>
    </row>
    <row r="89" spans="1:9" x14ac:dyDescent="0.35">
      <c r="A89" s="5" t="s">
        <v>101</v>
      </c>
      <c r="B89" s="8">
        <f t="shared" ref="B89:H89" si="18">(((B85)+(B86))+(B87))+(B88)</f>
        <v>130.33000000000001</v>
      </c>
      <c r="C89" s="8">
        <f t="shared" si="18"/>
        <v>145.33000000000001</v>
      </c>
      <c r="D89" s="8">
        <f t="shared" si="18"/>
        <v>130.33000000000001</v>
      </c>
      <c r="E89" s="8">
        <f t="shared" si="18"/>
        <v>130.33000000000001</v>
      </c>
      <c r="F89" s="8">
        <f t="shared" si="18"/>
        <v>49583.06</v>
      </c>
      <c r="G89" s="8">
        <f t="shared" si="18"/>
        <v>-157.54</v>
      </c>
      <c r="H89" s="8">
        <f t="shared" si="18"/>
        <v>266.43</v>
      </c>
      <c r="I89" s="8">
        <f t="shared" si="8"/>
        <v>50228.27</v>
      </c>
    </row>
    <row r="90" spans="1:9" x14ac:dyDescent="0.35">
      <c r="A90" s="5" t="s">
        <v>10</v>
      </c>
      <c r="B90" s="8">
        <f t="shared" ref="B90:H90" si="19">(((((((B36)+(B43))+(B51))+(B62))+(B72))+(B79))+(B84))+(B89)</f>
        <v>49115.93</v>
      </c>
      <c r="C90" s="8">
        <f t="shared" si="19"/>
        <v>52797.380000000005</v>
      </c>
      <c r="D90" s="8">
        <f t="shared" si="19"/>
        <v>59276.02</v>
      </c>
      <c r="E90" s="8">
        <f t="shared" si="19"/>
        <v>160565.97</v>
      </c>
      <c r="F90" s="8">
        <f t="shared" si="19"/>
        <v>260361.16</v>
      </c>
      <c r="G90" s="8">
        <f t="shared" si="19"/>
        <v>56391.329999999987</v>
      </c>
      <c r="H90" s="8">
        <f t="shared" si="19"/>
        <v>49373.680000000008</v>
      </c>
      <c r="I90" s="8">
        <f t="shared" si="8"/>
        <v>687881.47</v>
      </c>
    </row>
    <row r="91" spans="1:9" x14ac:dyDescent="0.35">
      <c r="A91" s="5" t="s">
        <v>11</v>
      </c>
      <c r="B91" s="8">
        <f t="shared" ref="B91:H91" si="20">(B28)-(B90)</f>
        <v>-6796.7900000000081</v>
      </c>
      <c r="C91" s="8">
        <f t="shared" si="20"/>
        <v>-41526.370000000003</v>
      </c>
      <c r="D91" s="8">
        <f t="shared" si="20"/>
        <v>68295.62</v>
      </c>
      <c r="E91" s="8">
        <f t="shared" si="20"/>
        <v>-4587.0599999999686</v>
      </c>
      <c r="F91" s="8">
        <f t="shared" si="20"/>
        <v>17275.999999999971</v>
      </c>
      <c r="G91" s="8">
        <f t="shared" si="20"/>
        <v>56852.140000000014</v>
      </c>
      <c r="H91" s="8">
        <f t="shared" si="20"/>
        <v>-44300.990000000005</v>
      </c>
      <c r="I91" s="8">
        <f t="shared" si="8"/>
        <v>45212.55</v>
      </c>
    </row>
    <row r="92" spans="1:9" x14ac:dyDescent="0.35">
      <c r="A92" s="5" t="s">
        <v>0</v>
      </c>
      <c r="B92" s="6"/>
      <c r="C92" s="6"/>
      <c r="D92" s="6"/>
      <c r="E92" s="6"/>
      <c r="F92" s="6"/>
      <c r="G92" s="6"/>
      <c r="H92" s="6"/>
      <c r="I92" s="6"/>
    </row>
    <row r="93" spans="1:9" x14ac:dyDescent="0.35">
      <c r="A93" s="5" t="s">
        <v>126</v>
      </c>
      <c r="B93" s="6"/>
      <c r="C93" s="6"/>
      <c r="D93" s="6"/>
      <c r="E93" s="6"/>
      <c r="F93" s="6"/>
      <c r="G93" s="6"/>
      <c r="H93" s="6"/>
      <c r="I93" s="7">
        <f t="shared" ref="I93:I98" si="21">((((((B93)+(C93))+(D93))+(E93))+(F93))+(G93))+(H93)</f>
        <v>0</v>
      </c>
    </row>
    <row r="94" spans="1:9" x14ac:dyDescent="0.35">
      <c r="A94" s="5" t="s">
        <v>127</v>
      </c>
      <c r="B94" s="6"/>
      <c r="C94" s="6"/>
      <c r="D94" s="6"/>
      <c r="E94" s="6"/>
      <c r="F94" s="6"/>
      <c r="G94" s="7">
        <f>-70000</f>
        <v>-70000</v>
      </c>
      <c r="H94" s="6"/>
      <c r="I94" s="7">
        <f t="shared" si="21"/>
        <v>-70000</v>
      </c>
    </row>
    <row r="95" spans="1:9" x14ac:dyDescent="0.35">
      <c r="A95" s="5" t="s">
        <v>128</v>
      </c>
      <c r="B95" s="8">
        <f t="shared" ref="B95:H95" si="22">(B93)+(B94)</f>
        <v>0</v>
      </c>
      <c r="C95" s="8">
        <f t="shared" si="22"/>
        <v>0</v>
      </c>
      <c r="D95" s="8">
        <f t="shared" si="22"/>
        <v>0</v>
      </c>
      <c r="E95" s="8">
        <f t="shared" si="22"/>
        <v>0</v>
      </c>
      <c r="F95" s="8">
        <f t="shared" si="22"/>
        <v>0</v>
      </c>
      <c r="G95" s="8">
        <f t="shared" si="22"/>
        <v>-70000</v>
      </c>
      <c r="H95" s="8">
        <f t="shared" si="22"/>
        <v>0</v>
      </c>
      <c r="I95" s="8">
        <f t="shared" si="21"/>
        <v>-70000</v>
      </c>
    </row>
    <row r="96" spans="1:9" x14ac:dyDescent="0.35">
      <c r="A96" s="5" t="s">
        <v>129</v>
      </c>
      <c r="B96" s="8">
        <f t="shared" ref="B96:H96" si="23">B95</f>
        <v>0</v>
      </c>
      <c r="C96" s="8">
        <f t="shared" si="23"/>
        <v>0</v>
      </c>
      <c r="D96" s="8">
        <f t="shared" si="23"/>
        <v>0</v>
      </c>
      <c r="E96" s="8">
        <f t="shared" si="23"/>
        <v>0</v>
      </c>
      <c r="F96" s="8">
        <f t="shared" si="23"/>
        <v>0</v>
      </c>
      <c r="G96" s="8">
        <f t="shared" si="23"/>
        <v>-70000</v>
      </c>
      <c r="H96" s="8">
        <f t="shared" si="23"/>
        <v>0</v>
      </c>
      <c r="I96" s="8">
        <f t="shared" si="21"/>
        <v>-70000</v>
      </c>
    </row>
    <row r="97" spans="1:9" x14ac:dyDescent="0.35">
      <c r="A97" s="5" t="s">
        <v>130</v>
      </c>
      <c r="B97" s="8">
        <f t="shared" ref="B97:H97" si="24">(B96)-(0)</f>
        <v>0</v>
      </c>
      <c r="C97" s="8">
        <f t="shared" si="24"/>
        <v>0</v>
      </c>
      <c r="D97" s="8">
        <f t="shared" si="24"/>
        <v>0</v>
      </c>
      <c r="E97" s="8">
        <f t="shared" si="24"/>
        <v>0</v>
      </c>
      <c r="F97" s="8">
        <f t="shared" si="24"/>
        <v>0</v>
      </c>
      <c r="G97" s="8">
        <f t="shared" si="24"/>
        <v>-70000</v>
      </c>
      <c r="H97" s="8">
        <f t="shared" si="24"/>
        <v>0</v>
      </c>
      <c r="I97" s="8">
        <f t="shared" si="21"/>
        <v>-70000</v>
      </c>
    </row>
    <row r="98" spans="1:9" x14ac:dyDescent="0.35">
      <c r="A98" s="5" t="s">
        <v>12</v>
      </c>
      <c r="B98" s="8">
        <f t="shared" ref="B98:H98" si="25">(B91)+(B97)</f>
        <v>-6796.7900000000081</v>
      </c>
      <c r="C98" s="8">
        <f t="shared" si="25"/>
        <v>-41526.370000000003</v>
      </c>
      <c r="D98" s="8">
        <f t="shared" si="25"/>
        <v>68295.62</v>
      </c>
      <c r="E98" s="8">
        <f t="shared" si="25"/>
        <v>-4587.0599999999686</v>
      </c>
      <c r="F98" s="8">
        <f t="shared" si="25"/>
        <v>17275.999999999971</v>
      </c>
      <c r="G98" s="8">
        <f t="shared" si="25"/>
        <v>-13147.859999999986</v>
      </c>
      <c r="H98" s="8">
        <f t="shared" si="25"/>
        <v>-44300.990000000005</v>
      </c>
      <c r="I98" s="8">
        <f t="shared" si="21"/>
        <v>-24787.450000000004</v>
      </c>
    </row>
    <row r="101" spans="1:9" x14ac:dyDescent="0.35">
      <c r="A101" s="44"/>
      <c r="B101" s="39"/>
      <c r="C101" s="39"/>
      <c r="D101" s="39"/>
      <c r="E101" s="39"/>
      <c r="F101" s="39"/>
      <c r="G101" s="39"/>
      <c r="H101" s="39"/>
    </row>
  </sheetData>
  <mergeCells count="4">
    <mergeCell ref="A101:H101"/>
    <mergeCell ref="A1:I1"/>
    <mergeCell ref="A2:I2"/>
    <mergeCell ref="A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F6C30-E0B7-404F-AAC8-FA744FF3FDF6}">
  <sheetPr>
    <tabColor theme="9" tint="0.59999389629810485"/>
  </sheetPr>
  <dimension ref="A1:Y100"/>
  <sheetViews>
    <sheetView topLeftCell="A80" workbookViewId="0"/>
  </sheetViews>
  <sheetFormatPr defaultRowHeight="14.5" x14ac:dyDescent="0.35"/>
  <cols>
    <col min="2" max="2" width="35.26953125" customWidth="1"/>
    <col min="3" max="4" width="11.1796875" style="18" customWidth="1"/>
    <col min="5" max="5" width="10.26953125" style="18" customWidth="1"/>
    <col min="6" max="6" width="11.1796875" style="18" customWidth="1"/>
    <col min="7" max="8" width="11.54296875" style="3" customWidth="1"/>
    <col min="9" max="9" width="9.1796875" customWidth="1"/>
    <col min="11" max="22" width="9.7265625" bestFit="1" customWidth="1"/>
    <col min="23" max="23" width="10.26953125" bestFit="1" customWidth="1"/>
    <col min="25" max="25" width="11.54296875" bestFit="1" customWidth="1"/>
    <col min="27" max="27" width="16.26953125" bestFit="1" customWidth="1"/>
    <col min="28" max="28" width="16.26953125" customWidth="1"/>
  </cols>
  <sheetData>
    <row r="1" spans="1:25" ht="18" x14ac:dyDescent="0.4">
      <c r="B1" s="15" t="s">
        <v>136</v>
      </c>
      <c r="C1" s="16"/>
      <c r="D1" s="16"/>
      <c r="E1" s="16"/>
      <c r="F1" s="16"/>
    </row>
    <row r="2" spans="1:25" ht="18" x14ac:dyDescent="0.4">
      <c r="B2" s="15" t="s">
        <v>160</v>
      </c>
      <c r="C2" s="16"/>
      <c r="D2" s="16"/>
      <c r="E2" s="16"/>
      <c r="F2" s="16"/>
    </row>
    <row r="3" spans="1:25" ht="15" thickBot="1" x14ac:dyDescent="0.4">
      <c r="B3" s="17" t="s">
        <v>245</v>
      </c>
      <c r="C3" s="16"/>
      <c r="D3" s="16"/>
      <c r="E3" s="16"/>
      <c r="F3" s="16"/>
    </row>
    <row r="4" spans="1:25" ht="15" thickBot="1" x14ac:dyDescent="0.4">
      <c r="K4" s="45" t="s">
        <v>246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7"/>
    </row>
    <row r="5" spans="1:25" ht="24" x14ac:dyDescent="0.35">
      <c r="B5" s="1"/>
      <c r="C5" s="19" t="s">
        <v>161</v>
      </c>
      <c r="D5" s="19" t="s">
        <v>162</v>
      </c>
      <c r="E5" s="19" t="s">
        <v>163</v>
      </c>
      <c r="F5" s="19" t="s">
        <v>2</v>
      </c>
      <c r="G5" s="20" t="s">
        <v>247</v>
      </c>
      <c r="H5" s="20"/>
      <c r="K5" s="21">
        <v>45292</v>
      </c>
      <c r="L5" s="21">
        <v>45323</v>
      </c>
      <c r="M5" s="21">
        <v>45352</v>
      </c>
      <c r="N5" s="21">
        <v>45383</v>
      </c>
      <c r="O5" s="21">
        <v>45413</v>
      </c>
      <c r="P5" s="21">
        <v>45444</v>
      </c>
      <c r="Q5" s="21">
        <v>45474</v>
      </c>
      <c r="R5" s="21">
        <v>45505</v>
      </c>
      <c r="S5" s="21">
        <v>45536</v>
      </c>
      <c r="T5" s="21">
        <v>45566</v>
      </c>
      <c r="U5" s="21">
        <v>45597</v>
      </c>
      <c r="V5" s="21">
        <v>45627</v>
      </c>
      <c r="W5" s="19" t="s">
        <v>2</v>
      </c>
      <c r="Y5" s="19" t="s">
        <v>248</v>
      </c>
    </row>
    <row r="6" spans="1:25" x14ac:dyDescent="0.35">
      <c r="B6" s="5" t="s">
        <v>137</v>
      </c>
      <c r="C6" s="22"/>
      <c r="D6" s="22"/>
      <c r="E6" s="22"/>
      <c r="F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1:25" x14ac:dyDescent="0.35">
      <c r="B7" s="5" t="s">
        <v>170</v>
      </c>
      <c r="C7" s="22"/>
      <c r="D7" s="22"/>
      <c r="E7" s="22"/>
      <c r="F7" s="23">
        <f>SUM(C7:E7)</f>
        <v>0</v>
      </c>
      <c r="K7" s="22"/>
      <c r="L7" s="22"/>
      <c r="M7" s="22"/>
      <c r="N7" s="23"/>
      <c r="O7" s="22"/>
      <c r="P7" s="22"/>
      <c r="Q7" s="22"/>
      <c r="R7" s="23"/>
      <c r="S7" s="22"/>
      <c r="T7" s="22"/>
      <c r="U7" s="22"/>
      <c r="V7" s="23"/>
      <c r="W7" s="22"/>
    </row>
    <row r="8" spans="1:25" x14ac:dyDescent="0.35">
      <c r="A8" s="4" t="s">
        <v>149</v>
      </c>
      <c r="B8" s="5" t="s">
        <v>171</v>
      </c>
      <c r="C8" s="23"/>
      <c r="D8" s="24">
        <v>25575</v>
      </c>
      <c r="E8" s="23"/>
      <c r="F8" s="23">
        <f t="shared" ref="F8:F21" si="0">SUM(C8:E8)</f>
        <v>25575</v>
      </c>
      <c r="K8" s="23">
        <f>'[1]Admin by Month'!J8+'[1]Membership by Month'!J8+'[1]Education by Month'!J8</f>
        <v>2131.25</v>
      </c>
      <c r="L8" s="23">
        <f>'[1]Admin by Month'!K8+'[1]Membership by Month'!K8+'[1]Education by Month'!K8</f>
        <v>2131.25</v>
      </c>
      <c r="M8" s="23">
        <f>'[1]Admin by Month'!L8+'[1]Membership by Month'!L8+'[1]Education by Month'!L8</f>
        <v>2131.25</v>
      </c>
      <c r="N8" s="23">
        <f>'[1]Admin by Month'!M8+'[1]Membership by Month'!M8+'[1]Education by Month'!M8</f>
        <v>2131.25</v>
      </c>
      <c r="O8" s="23">
        <f>'[1]Admin by Month'!N8+'[1]Membership by Month'!N8+'[1]Education by Month'!N8</f>
        <v>2131.25</v>
      </c>
      <c r="P8" s="23">
        <f>'[1]Admin by Month'!O8+'[1]Membership by Month'!O8+'[1]Education by Month'!O8</f>
        <v>2131.25</v>
      </c>
      <c r="Q8" s="23">
        <f>'[1]Admin by Month'!P8+'[1]Membership by Month'!P8+'[1]Education by Month'!P8</f>
        <v>2131.25</v>
      </c>
      <c r="R8" s="23">
        <f>'[1]Admin by Month'!Q8+'[1]Membership by Month'!Q8+'[1]Education by Month'!Q8</f>
        <v>2131.25</v>
      </c>
      <c r="S8" s="23">
        <f>'[1]Admin by Month'!R8+'[1]Membership by Month'!R8+'[1]Education by Month'!R8</f>
        <v>2131.25</v>
      </c>
      <c r="T8" s="23">
        <f>'[1]Admin by Month'!S8+'[1]Membership by Month'!S8+'[1]Education by Month'!S8</f>
        <v>2131.25</v>
      </c>
      <c r="U8" s="23">
        <f>'[1]Admin by Month'!T8+'[1]Membership by Month'!T8+'[1]Education by Month'!T8</f>
        <v>2131.25</v>
      </c>
      <c r="V8" s="23">
        <f>'[1]Admin by Month'!U8+'[1]Membership by Month'!U8+'[1]Education by Month'!U8</f>
        <v>2131.25</v>
      </c>
      <c r="W8" s="23">
        <f>SUM(K8:V8)</f>
        <v>25575</v>
      </c>
      <c r="Y8" s="25">
        <f>F8-W8</f>
        <v>0</v>
      </c>
    </row>
    <row r="9" spans="1:25" x14ac:dyDescent="0.35">
      <c r="A9" s="4" t="s">
        <v>149</v>
      </c>
      <c r="B9" s="5" t="s">
        <v>172</v>
      </c>
      <c r="C9" s="23"/>
      <c r="D9" s="24">
        <v>18375</v>
      </c>
      <c r="E9" s="23"/>
      <c r="F9" s="23">
        <f t="shared" si="0"/>
        <v>18375</v>
      </c>
      <c r="K9" s="23">
        <f>'[1]Admin by Month'!J9+'[1]Membership by Month'!J9+'[1]Education by Month'!J9</f>
        <v>1531.25</v>
      </c>
      <c r="L9" s="23">
        <f>'[1]Admin by Month'!K9+'[1]Membership by Month'!K9+'[1]Education by Month'!K9</f>
        <v>1531.25</v>
      </c>
      <c r="M9" s="23">
        <f>'[1]Admin by Month'!L9+'[1]Membership by Month'!L9+'[1]Education by Month'!L9</f>
        <v>1531.25</v>
      </c>
      <c r="N9" s="23">
        <f>'[1]Admin by Month'!M9+'[1]Membership by Month'!M9+'[1]Education by Month'!M9</f>
        <v>1531.25</v>
      </c>
      <c r="O9" s="23">
        <f>'[1]Admin by Month'!N9+'[1]Membership by Month'!N9+'[1]Education by Month'!N9</f>
        <v>1531.25</v>
      </c>
      <c r="P9" s="23">
        <f>'[1]Admin by Month'!O9+'[1]Membership by Month'!O9+'[1]Education by Month'!O9</f>
        <v>1531.25</v>
      </c>
      <c r="Q9" s="23">
        <f>'[1]Admin by Month'!P9+'[1]Membership by Month'!P9+'[1]Education by Month'!P9</f>
        <v>1531.25</v>
      </c>
      <c r="R9" s="23">
        <f>'[1]Admin by Month'!Q9+'[1]Membership by Month'!Q9+'[1]Education by Month'!Q9</f>
        <v>1531.25</v>
      </c>
      <c r="S9" s="23">
        <f>'[1]Admin by Month'!R9+'[1]Membership by Month'!R9+'[1]Education by Month'!R9</f>
        <v>1531.25</v>
      </c>
      <c r="T9" s="23">
        <f>'[1]Admin by Month'!S9+'[1]Membership by Month'!S9+'[1]Education by Month'!S9</f>
        <v>1531.25</v>
      </c>
      <c r="U9" s="23">
        <f>'[1]Admin by Month'!T9+'[1]Membership by Month'!T9+'[1]Education by Month'!T9</f>
        <v>1531.25</v>
      </c>
      <c r="V9" s="23">
        <f>'[1]Admin by Month'!U9+'[1]Membership by Month'!U9+'[1]Education by Month'!U9</f>
        <v>1531.25</v>
      </c>
      <c r="W9" s="23">
        <f t="shared" ref="W9:W16" si="1">SUM(K9:V9)</f>
        <v>18375</v>
      </c>
      <c r="Y9" s="25">
        <f t="shared" ref="Y9:Y72" si="2">F9-W9</f>
        <v>0</v>
      </c>
    </row>
    <row r="10" spans="1:25" x14ac:dyDescent="0.35">
      <c r="A10" s="4" t="s">
        <v>149</v>
      </c>
      <c r="B10" s="5" t="s">
        <v>173</v>
      </c>
      <c r="C10" s="23"/>
      <c r="D10" s="24">
        <v>15770</v>
      </c>
      <c r="E10" s="23"/>
      <c r="F10" s="23">
        <f t="shared" si="0"/>
        <v>15770</v>
      </c>
      <c r="K10" s="23">
        <f>'[1]Admin by Month'!J10+'[1]Membership by Month'!J10+'[1]Education by Month'!J10</f>
        <v>1314.1666666666667</v>
      </c>
      <c r="L10" s="23">
        <f>'[1]Admin by Month'!K10+'[1]Membership by Month'!K10+'[1]Education by Month'!K10</f>
        <v>1314.1666666666667</v>
      </c>
      <c r="M10" s="23">
        <f>'[1]Admin by Month'!L10+'[1]Membership by Month'!L10+'[1]Education by Month'!L10</f>
        <v>1314.1666666666667</v>
      </c>
      <c r="N10" s="23">
        <f>'[1]Admin by Month'!M10+'[1]Membership by Month'!M10+'[1]Education by Month'!M10</f>
        <v>1314.1666666666667</v>
      </c>
      <c r="O10" s="23">
        <f>'[1]Admin by Month'!N10+'[1]Membership by Month'!N10+'[1]Education by Month'!N10</f>
        <v>1314.1666666666667</v>
      </c>
      <c r="P10" s="23">
        <f>'[1]Admin by Month'!O10+'[1]Membership by Month'!O10+'[1]Education by Month'!O10</f>
        <v>1314.1666666666667</v>
      </c>
      <c r="Q10" s="23">
        <f>'[1]Admin by Month'!P10+'[1]Membership by Month'!P10+'[1]Education by Month'!P10</f>
        <v>1314.1666666666667</v>
      </c>
      <c r="R10" s="23">
        <f>'[1]Admin by Month'!Q10+'[1]Membership by Month'!Q10+'[1]Education by Month'!Q10</f>
        <v>1314.1666666666667</v>
      </c>
      <c r="S10" s="23">
        <f>'[1]Admin by Month'!R10+'[1]Membership by Month'!R10+'[1]Education by Month'!R10</f>
        <v>1314.1666666666667</v>
      </c>
      <c r="T10" s="23">
        <f>'[1]Admin by Month'!S10+'[1]Membership by Month'!S10+'[1]Education by Month'!S10</f>
        <v>1314.1666666666667</v>
      </c>
      <c r="U10" s="23">
        <f>'[1]Admin by Month'!T10+'[1]Membership by Month'!T10+'[1]Education by Month'!T10</f>
        <v>1314.1666666666667</v>
      </c>
      <c r="V10" s="23">
        <f>'[1]Admin by Month'!U10+'[1]Membership by Month'!U10+'[1]Education by Month'!U10</f>
        <v>1314.1666666666667</v>
      </c>
      <c r="W10" s="23">
        <f t="shared" si="1"/>
        <v>15769.999999999998</v>
      </c>
      <c r="Y10" s="25">
        <f t="shared" si="2"/>
        <v>0</v>
      </c>
    </row>
    <row r="11" spans="1:25" x14ac:dyDescent="0.35">
      <c r="A11" s="4" t="s">
        <v>149</v>
      </c>
      <c r="B11" s="5" t="s">
        <v>174</v>
      </c>
      <c r="C11" s="23"/>
      <c r="D11" s="24">
        <v>87500</v>
      </c>
      <c r="E11" s="23"/>
      <c r="F11" s="23">
        <f t="shared" si="0"/>
        <v>87500</v>
      </c>
      <c r="K11" s="23">
        <f>'[1]Admin by Month'!J11+'[1]Membership by Month'!J11+'[1]Education by Month'!J11</f>
        <v>7291.666666666667</v>
      </c>
      <c r="L11" s="23">
        <f>'[1]Admin by Month'!K11+'[1]Membership by Month'!K11+'[1]Education by Month'!K11</f>
        <v>7291.666666666667</v>
      </c>
      <c r="M11" s="23">
        <f>'[1]Admin by Month'!L11+'[1]Membership by Month'!L11+'[1]Education by Month'!L11</f>
        <v>7291.666666666667</v>
      </c>
      <c r="N11" s="23">
        <f>'[1]Admin by Month'!M11+'[1]Membership by Month'!M11+'[1]Education by Month'!M11</f>
        <v>7291.666666666667</v>
      </c>
      <c r="O11" s="23">
        <f>'[1]Admin by Month'!N11+'[1]Membership by Month'!N11+'[1]Education by Month'!N11</f>
        <v>7291.666666666667</v>
      </c>
      <c r="P11" s="23">
        <f>'[1]Admin by Month'!O11+'[1]Membership by Month'!O11+'[1]Education by Month'!O11</f>
        <v>7291.666666666667</v>
      </c>
      <c r="Q11" s="23">
        <f>'[1]Admin by Month'!P11+'[1]Membership by Month'!P11+'[1]Education by Month'!P11</f>
        <v>7291.666666666667</v>
      </c>
      <c r="R11" s="23">
        <f>'[1]Admin by Month'!Q11+'[1]Membership by Month'!Q11+'[1]Education by Month'!Q11</f>
        <v>7291.666666666667</v>
      </c>
      <c r="S11" s="23">
        <f>'[1]Admin by Month'!R11+'[1]Membership by Month'!R11+'[1]Education by Month'!R11</f>
        <v>7291.666666666667</v>
      </c>
      <c r="T11" s="23">
        <f>'[1]Admin by Month'!S11+'[1]Membership by Month'!S11+'[1]Education by Month'!S11</f>
        <v>7291.666666666667</v>
      </c>
      <c r="U11" s="23">
        <f>'[1]Admin by Month'!T11+'[1]Membership by Month'!T11+'[1]Education by Month'!T11</f>
        <v>7291.666666666667</v>
      </c>
      <c r="V11" s="23">
        <f>'[1]Admin by Month'!U11+'[1]Membership by Month'!U11+'[1]Education by Month'!U11</f>
        <v>7291.666666666667</v>
      </c>
      <c r="W11" s="23">
        <f t="shared" si="1"/>
        <v>87500.000000000015</v>
      </c>
      <c r="Y11" s="25">
        <f t="shared" si="2"/>
        <v>0</v>
      </c>
    </row>
    <row r="12" spans="1:25" x14ac:dyDescent="0.35">
      <c r="A12" s="4" t="s">
        <v>149</v>
      </c>
      <c r="B12" s="5" t="s">
        <v>175</v>
      </c>
      <c r="C12" s="23"/>
      <c r="D12" s="24">
        <v>107120</v>
      </c>
      <c r="E12" s="23"/>
      <c r="F12" s="23">
        <f t="shared" si="0"/>
        <v>107120</v>
      </c>
      <c r="K12" s="23">
        <f>'[1]Admin by Month'!J12+'[1]Membership by Month'!J12+'[1]Education by Month'!J12</f>
        <v>8926.6666666666661</v>
      </c>
      <c r="L12" s="23">
        <f>'[1]Admin by Month'!K12+'[1]Membership by Month'!K12+'[1]Education by Month'!K12</f>
        <v>8926.6666666666661</v>
      </c>
      <c r="M12" s="23">
        <f>'[1]Admin by Month'!L12+'[1]Membership by Month'!L12+'[1]Education by Month'!L12</f>
        <v>8926.6666666666661</v>
      </c>
      <c r="N12" s="23">
        <f>'[1]Admin by Month'!M12+'[1]Membership by Month'!M12+'[1]Education by Month'!M12</f>
        <v>8926.6666666666661</v>
      </c>
      <c r="O12" s="23">
        <f>'[1]Admin by Month'!N12+'[1]Membership by Month'!N12+'[1]Education by Month'!N12</f>
        <v>8926.6666666666661</v>
      </c>
      <c r="P12" s="23">
        <f>'[1]Admin by Month'!O12+'[1]Membership by Month'!O12+'[1]Education by Month'!O12</f>
        <v>8926.6666666666661</v>
      </c>
      <c r="Q12" s="23">
        <f>'[1]Admin by Month'!P12+'[1]Membership by Month'!P12+'[1]Education by Month'!P12</f>
        <v>8926.6666666666661</v>
      </c>
      <c r="R12" s="23">
        <f>'[1]Admin by Month'!Q12+'[1]Membership by Month'!Q12+'[1]Education by Month'!Q12</f>
        <v>8926.6666666666661</v>
      </c>
      <c r="S12" s="23">
        <f>'[1]Admin by Month'!R12+'[1]Membership by Month'!R12+'[1]Education by Month'!R12</f>
        <v>8926.6666666666661</v>
      </c>
      <c r="T12" s="23">
        <f>'[1]Admin by Month'!S12+'[1]Membership by Month'!S12+'[1]Education by Month'!S12</f>
        <v>8926.6666666666661</v>
      </c>
      <c r="U12" s="23">
        <f>'[1]Admin by Month'!T12+'[1]Membership by Month'!T12+'[1]Education by Month'!T12</f>
        <v>8926.6666666666661</v>
      </c>
      <c r="V12" s="23">
        <f>'[1]Admin by Month'!U12+'[1]Membership by Month'!U12+'[1]Education by Month'!U12</f>
        <v>8926.6666666666661</v>
      </c>
      <c r="W12" s="23">
        <f t="shared" si="1"/>
        <v>107120.00000000001</v>
      </c>
      <c r="Y12" s="25">
        <f t="shared" si="2"/>
        <v>0</v>
      </c>
    </row>
    <row r="13" spans="1:25" x14ac:dyDescent="0.35">
      <c r="A13" s="4" t="s">
        <v>149</v>
      </c>
      <c r="B13" s="5" t="s">
        <v>176</v>
      </c>
      <c r="C13" s="23"/>
      <c r="D13" s="24">
        <v>91000</v>
      </c>
      <c r="E13" s="23"/>
      <c r="F13" s="23">
        <f t="shared" si="0"/>
        <v>91000</v>
      </c>
      <c r="K13" s="23">
        <f>'[1]Admin by Month'!J13+'[1]Membership by Month'!J13+'[1]Education by Month'!J13</f>
        <v>7583.333333333333</v>
      </c>
      <c r="L13" s="23">
        <f>'[1]Admin by Month'!K13+'[1]Membership by Month'!K13+'[1]Education by Month'!K13</f>
        <v>7583.333333333333</v>
      </c>
      <c r="M13" s="23">
        <f>'[1]Admin by Month'!L13+'[1]Membership by Month'!L13+'[1]Education by Month'!L13</f>
        <v>7583.333333333333</v>
      </c>
      <c r="N13" s="23">
        <f>'[1]Admin by Month'!M13+'[1]Membership by Month'!M13+'[1]Education by Month'!M13</f>
        <v>7583.333333333333</v>
      </c>
      <c r="O13" s="23">
        <f>'[1]Admin by Month'!N13+'[1]Membership by Month'!N13+'[1]Education by Month'!N13</f>
        <v>7583.333333333333</v>
      </c>
      <c r="P13" s="23">
        <f>'[1]Admin by Month'!O13+'[1]Membership by Month'!O13+'[1]Education by Month'!O13</f>
        <v>7583.333333333333</v>
      </c>
      <c r="Q13" s="23">
        <f>'[1]Admin by Month'!P13+'[1]Membership by Month'!P13+'[1]Education by Month'!P13</f>
        <v>7583.333333333333</v>
      </c>
      <c r="R13" s="23">
        <f>'[1]Admin by Month'!Q13+'[1]Membership by Month'!Q13+'[1]Education by Month'!Q13</f>
        <v>7583.333333333333</v>
      </c>
      <c r="S13" s="23">
        <f>'[1]Admin by Month'!R13+'[1]Membership by Month'!R13+'[1]Education by Month'!R13</f>
        <v>7583.333333333333</v>
      </c>
      <c r="T13" s="23">
        <f>'[1]Admin by Month'!S13+'[1]Membership by Month'!S13+'[1]Education by Month'!S13</f>
        <v>7583.333333333333</v>
      </c>
      <c r="U13" s="23">
        <f>'[1]Admin by Month'!T13+'[1]Membership by Month'!T13+'[1]Education by Month'!T13</f>
        <v>7583.333333333333</v>
      </c>
      <c r="V13" s="23">
        <f>'[1]Admin by Month'!U13+'[1]Membership by Month'!U13+'[1]Education by Month'!U13</f>
        <v>7583.333333333333</v>
      </c>
      <c r="W13" s="23">
        <f t="shared" si="1"/>
        <v>90999.999999999985</v>
      </c>
      <c r="Y13" s="25">
        <f t="shared" si="2"/>
        <v>0</v>
      </c>
    </row>
    <row r="14" spans="1:25" x14ac:dyDescent="0.35">
      <c r="A14" s="4" t="s">
        <v>149</v>
      </c>
      <c r="B14" s="5" t="s">
        <v>177</v>
      </c>
      <c r="C14" s="23"/>
      <c r="D14" s="24">
        <v>38100</v>
      </c>
      <c r="E14" s="23"/>
      <c r="F14" s="23">
        <f t="shared" si="0"/>
        <v>38100</v>
      </c>
      <c r="K14" s="23">
        <f>'[1]Admin by Month'!J14+'[1]Membership by Month'!J14+'[1]Education by Month'!J14</f>
        <v>3175</v>
      </c>
      <c r="L14" s="23">
        <f>'[1]Admin by Month'!K14+'[1]Membership by Month'!K14+'[1]Education by Month'!K14</f>
        <v>3175</v>
      </c>
      <c r="M14" s="23">
        <f>'[1]Admin by Month'!L14+'[1]Membership by Month'!L14+'[1]Education by Month'!L14</f>
        <v>3175</v>
      </c>
      <c r="N14" s="23">
        <f>'[1]Admin by Month'!M14+'[1]Membership by Month'!M14+'[1]Education by Month'!M14</f>
        <v>3175</v>
      </c>
      <c r="O14" s="23">
        <f>'[1]Admin by Month'!N14+'[1]Membership by Month'!N14+'[1]Education by Month'!N14</f>
        <v>3175</v>
      </c>
      <c r="P14" s="23">
        <f>'[1]Admin by Month'!O14+'[1]Membership by Month'!O14+'[1]Education by Month'!O14</f>
        <v>3175</v>
      </c>
      <c r="Q14" s="23">
        <f>'[1]Admin by Month'!P14+'[1]Membership by Month'!P14+'[1]Education by Month'!P14</f>
        <v>3175</v>
      </c>
      <c r="R14" s="23">
        <f>'[1]Admin by Month'!Q14+'[1]Membership by Month'!Q14+'[1]Education by Month'!Q14</f>
        <v>3175</v>
      </c>
      <c r="S14" s="23">
        <f>'[1]Admin by Month'!R14+'[1]Membership by Month'!R14+'[1]Education by Month'!R14</f>
        <v>3175</v>
      </c>
      <c r="T14" s="23">
        <f>'[1]Admin by Month'!S14+'[1]Membership by Month'!S14+'[1]Education by Month'!S14</f>
        <v>3175</v>
      </c>
      <c r="U14" s="23">
        <f>'[1]Admin by Month'!T14+'[1]Membership by Month'!T14+'[1]Education by Month'!T14</f>
        <v>3175</v>
      </c>
      <c r="V14" s="23">
        <f>'[1]Admin by Month'!U14+'[1]Membership by Month'!U14+'[1]Education by Month'!U14</f>
        <v>3175</v>
      </c>
      <c r="W14" s="23">
        <f t="shared" si="1"/>
        <v>38100</v>
      </c>
      <c r="Y14" s="25">
        <f t="shared" si="2"/>
        <v>0</v>
      </c>
    </row>
    <row r="15" spans="1:25" x14ac:dyDescent="0.35">
      <c r="A15" s="4" t="s">
        <v>149</v>
      </c>
      <c r="B15" s="5" t="s">
        <v>178</v>
      </c>
      <c r="C15" s="23"/>
      <c r="D15" s="24">
        <v>76074</v>
      </c>
      <c r="E15" s="23"/>
      <c r="F15" s="23">
        <f t="shared" si="0"/>
        <v>76074</v>
      </c>
      <c r="K15" s="23">
        <f>'[1]Admin by Month'!J15+'[1]Membership by Month'!J15+'[1]Education by Month'!J15</f>
        <v>6339.5</v>
      </c>
      <c r="L15" s="23">
        <f>'[1]Admin by Month'!K15+'[1]Membership by Month'!K15+'[1]Education by Month'!K15</f>
        <v>6339.5</v>
      </c>
      <c r="M15" s="23">
        <f>'[1]Admin by Month'!L15+'[1]Membership by Month'!L15+'[1]Education by Month'!L15</f>
        <v>6339.5</v>
      </c>
      <c r="N15" s="23">
        <f>'[1]Admin by Month'!M15+'[1]Membership by Month'!M15+'[1]Education by Month'!M15</f>
        <v>6339.5</v>
      </c>
      <c r="O15" s="23">
        <f>'[1]Admin by Month'!N15+'[1]Membership by Month'!N15+'[1]Education by Month'!N15</f>
        <v>6339.5</v>
      </c>
      <c r="P15" s="23">
        <f>'[1]Admin by Month'!O15+'[1]Membership by Month'!O15+'[1]Education by Month'!O15</f>
        <v>6339.5</v>
      </c>
      <c r="Q15" s="23">
        <f>'[1]Admin by Month'!P15+'[1]Membership by Month'!P15+'[1]Education by Month'!P15</f>
        <v>6339.5</v>
      </c>
      <c r="R15" s="23">
        <f>'[1]Admin by Month'!Q15+'[1]Membership by Month'!Q15+'[1]Education by Month'!Q15</f>
        <v>6339.5</v>
      </c>
      <c r="S15" s="23">
        <f>'[1]Admin by Month'!R15+'[1]Membership by Month'!R15+'[1]Education by Month'!R15</f>
        <v>6339.5</v>
      </c>
      <c r="T15" s="23">
        <f>'[1]Admin by Month'!S15+'[1]Membership by Month'!S15+'[1]Education by Month'!S15</f>
        <v>6339.5</v>
      </c>
      <c r="U15" s="23">
        <f>'[1]Admin by Month'!T15+'[1]Membership by Month'!T15+'[1]Education by Month'!T15</f>
        <v>6339.5</v>
      </c>
      <c r="V15" s="23">
        <f>'[1]Admin by Month'!U15+'[1]Membership by Month'!U15+'[1]Education by Month'!U15</f>
        <v>6339.5</v>
      </c>
      <c r="W15" s="23">
        <f t="shared" si="1"/>
        <v>76074</v>
      </c>
      <c r="Y15" s="25">
        <f t="shared" si="2"/>
        <v>0</v>
      </c>
    </row>
    <row r="16" spans="1:25" x14ac:dyDescent="0.35">
      <c r="A16" s="4" t="s">
        <v>149</v>
      </c>
      <c r="B16" s="5" t="s">
        <v>179</v>
      </c>
      <c r="C16" s="23"/>
      <c r="D16" s="26">
        <v>27720</v>
      </c>
      <c r="E16" s="23"/>
      <c r="F16" s="23">
        <f t="shared" si="0"/>
        <v>27720</v>
      </c>
      <c r="K16" s="23">
        <f>'[1]Admin by Month'!J16+'[1]Membership by Month'!J16+'[1]Education by Month'!J16</f>
        <v>2310</v>
      </c>
      <c r="L16" s="23">
        <f>'[1]Admin by Month'!K16+'[1]Membership by Month'!K16+'[1]Education by Month'!K16</f>
        <v>2310</v>
      </c>
      <c r="M16" s="23">
        <f>'[1]Admin by Month'!L16+'[1]Membership by Month'!L16+'[1]Education by Month'!L16</f>
        <v>2310</v>
      </c>
      <c r="N16" s="23">
        <f>'[1]Admin by Month'!M16+'[1]Membership by Month'!M16+'[1]Education by Month'!M16</f>
        <v>2310</v>
      </c>
      <c r="O16" s="23">
        <f>'[1]Admin by Month'!N16+'[1]Membership by Month'!N16+'[1]Education by Month'!N16</f>
        <v>2310</v>
      </c>
      <c r="P16" s="23">
        <f>'[1]Admin by Month'!O16+'[1]Membership by Month'!O16+'[1]Education by Month'!O16</f>
        <v>2310</v>
      </c>
      <c r="Q16" s="23">
        <f>'[1]Admin by Month'!P16+'[1]Membership by Month'!P16+'[1]Education by Month'!P16</f>
        <v>2310</v>
      </c>
      <c r="R16" s="23">
        <f>'[1]Admin by Month'!Q16+'[1]Membership by Month'!Q16+'[1]Education by Month'!Q16</f>
        <v>2310</v>
      </c>
      <c r="S16" s="23">
        <f>'[1]Admin by Month'!R16+'[1]Membership by Month'!R16+'[1]Education by Month'!R16</f>
        <v>2310</v>
      </c>
      <c r="T16" s="23">
        <f>'[1]Admin by Month'!S16+'[1]Membership by Month'!S16+'[1]Education by Month'!S16</f>
        <v>2310</v>
      </c>
      <c r="U16" s="23">
        <f>'[1]Admin by Month'!T16+'[1]Membership by Month'!T16+'[1]Education by Month'!T16</f>
        <v>2310</v>
      </c>
      <c r="V16" s="23">
        <f>'[1]Admin by Month'!U16+'[1]Membership by Month'!U16+'[1]Education by Month'!U16</f>
        <v>2310</v>
      </c>
      <c r="W16" s="23">
        <f t="shared" si="1"/>
        <v>27720</v>
      </c>
      <c r="Y16" s="25">
        <f t="shared" si="2"/>
        <v>0</v>
      </c>
    </row>
    <row r="17" spans="1:25" x14ac:dyDescent="0.35">
      <c r="B17" s="5" t="s">
        <v>180</v>
      </c>
      <c r="C17" s="27">
        <f>SUM(C7:C16)</f>
        <v>0</v>
      </c>
      <c r="D17" s="27">
        <f t="shared" ref="D17:F17" si="3">SUM(D7:D16)</f>
        <v>487234</v>
      </c>
      <c r="E17" s="27">
        <f t="shared" si="3"/>
        <v>0</v>
      </c>
      <c r="F17" s="27">
        <f t="shared" si="3"/>
        <v>487234</v>
      </c>
      <c r="G17" s="3">
        <v>487234</v>
      </c>
      <c r="H17" s="3">
        <f>F17-G17</f>
        <v>0</v>
      </c>
      <c r="K17" s="27">
        <f t="shared" ref="K17:W17" si="4">SUM(K7:K16)</f>
        <v>40602.833333333328</v>
      </c>
      <c r="L17" s="27">
        <f t="shared" si="4"/>
        <v>40602.833333333328</v>
      </c>
      <c r="M17" s="27">
        <f t="shared" si="4"/>
        <v>40602.833333333328</v>
      </c>
      <c r="N17" s="27">
        <f t="shared" si="4"/>
        <v>40602.833333333328</v>
      </c>
      <c r="O17" s="27">
        <f t="shared" si="4"/>
        <v>40602.833333333328</v>
      </c>
      <c r="P17" s="27">
        <f t="shared" si="4"/>
        <v>40602.833333333328</v>
      </c>
      <c r="Q17" s="27">
        <f t="shared" si="4"/>
        <v>40602.833333333328</v>
      </c>
      <c r="R17" s="27">
        <f t="shared" si="4"/>
        <v>40602.833333333328</v>
      </c>
      <c r="S17" s="27">
        <f t="shared" si="4"/>
        <v>40602.833333333328</v>
      </c>
      <c r="T17" s="27">
        <f t="shared" si="4"/>
        <v>40602.833333333328</v>
      </c>
      <c r="U17" s="27">
        <f t="shared" si="4"/>
        <v>40602.833333333328</v>
      </c>
      <c r="V17" s="27">
        <f t="shared" si="4"/>
        <v>40602.833333333328</v>
      </c>
      <c r="W17" s="27">
        <f t="shared" si="4"/>
        <v>487234</v>
      </c>
      <c r="Y17" s="25">
        <f t="shared" si="2"/>
        <v>0</v>
      </c>
    </row>
    <row r="18" spans="1:25" x14ac:dyDescent="0.35">
      <c r="B18" s="5" t="s">
        <v>181</v>
      </c>
      <c r="C18" s="22"/>
      <c r="D18" s="22"/>
      <c r="E18" s="22"/>
      <c r="F18" s="23">
        <f t="shared" si="0"/>
        <v>0</v>
      </c>
      <c r="K18" s="22"/>
      <c r="L18" s="22"/>
      <c r="M18" s="22"/>
      <c r="N18" s="23"/>
      <c r="O18" s="22"/>
      <c r="P18" s="22"/>
      <c r="Q18" s="22"/>
      <c r="R18" s="23"/>
      <c r="S18" s="22"/>
      <c r="T18" s="22"/>
      <c r="U18" s="22"/>
      <c r="V18" s="23"/>
      <c r="W18" s="22"/>
      <c r="Y18" s="25">
        <f t="shared" si="2"/>
        <v>0</v>
      </c>
    </row>
    <row r="19" spans="1:25" x14ac:dyDescent="0.35">
      <c r="A19" s="4" t="s">
        <v>150</v>
      </c>
      <c r="B19" s="5" t="s">
        <v>182</v>
      </c>
      <c r="C19" s="22"/>
      <c r="D19" s="22"/>
      <c r="E19" s="22"/>
      <c r="F19" s="23">
        <f t="shared" si="0"/>
        <v>0</v>
      </c>
      <c r="K19" s="23">
        <f>'[1]Admin by Month'!J19+'[1]Membership by Month'!J19+'[1]Education by Month'!J19</f>
        <v>0</v>
      </c>
      <c r="L19" s="23">
        <f>'[1]Admin by Month'!K19+'[1]Membership by Month'!K19+'[1]Education by Month'!K19</f>
        <v>0</v>
      </c>
      <c r="M19" s="23">
        <f>'[1]Admin by Month'!L19+'[1]Membership by Month'!L19+'[1]Education by Month'!L19</f>
        <v>0</v>
      </c>
      <c r="N19" s="23">
        <f>'[1]Admin by Month'!M19+'[1]Membership by Month'!M19+'[1]Education by Month'!M19</f>
        <v>0</v>
      </c>
      <c r="O19" s="23">
        <f>'[1]Admin by Month'!N19+'[1]Membership by Month'!N19+'[1]Education by Month'!N19</f>
        <v>0</v>
      </c>
      <c r="P19" s="23">
        <f>'[1]Admin by Month'!O19+'[1]Membership by Month'!O19+'[1]Education by Month'!O19</f>
        <v>0</v>
      </c>
      <c r="Q19" s="23">
        <f>'[1]Admin by Month'!P19+'[1]Membership by Month'!P19+'[1]Education by Month'!P19</f>
        <v>0</v>
      </c>
      <c r="R19" s="23">
        <f>'[1]Admin by Month'!Q19+'[1]Membership by Month'!Q19+'[1]Education by Month'!Q19</f>
        <v>0</v>
      </c>
      <c r="S19" s="23">
        <f>'[1]Admin by Month'!R19+'[1]Membership by Month'!R19+'[1]Education by Month'!R19</f>
        <v>0</v>
      </c>
      <c r="T19" s="23">
        <f>'[1]Admin by Month'!S19+'[1]Membership by Month'!S19+'[1]Education by Month'!S19</f>
        <v>0</v>
      </c>
      <c r="U19" s="23">
        <f>'[1]Admin by Month'!T19+'[1]Membership by Month'!T19+'[1]Education by Month'!T19</f>
        <v>0</v>
      </c>
      <c r="V19" s="23">
        <f>'[1]Admin by Month'!U19+'[1]Membership by Month'!U19+'[1]Education by Month'!U19</f>
        <v>0</v>
      </c>
      <c r="W19" s="23">
        <f t="shared" ref="W19:W21" si="5">SUM(K19:V19)</f>
        <v>0</v>
      </c>
      <c r="Y19" s="25">
        <f t="shared" si="2"/>
        <v>0</v>
      </c>
    </row>
    <row r="20" spans="1:25" x14ac:dyDescent="0.35">
      <c r="A20" s="4" t="s">
        <v>150</v>
      </c>
      <c r="B20" s="5" t="s">
        <v>183</v>
      </c>
      <c r="C20" s="22"/>
      <c r="D20" s="22"/>
      <c r="E20" s="24">
        <v>65163</v>
      </c>
      <c r="F20" s="23">
        <f t="shared" si="0"/>
        <v>65163</v>
      </c>
      <c r="K20" s="23">
        <f>'[1]Admin by Month'!J20+'[1]Membership by Month'!J20+'[1]Education by Month'!J20</f>
        <v>0</v>
      </c>
      <c r="L20" s="23">
        <f>'[1]Admin by Month'!K20+'[1]Membership by Month'!K20+'[1]Education by Month'!K20</f>
        <v>0</v>
      </c>
      <c r="M20" s="23">
        <f>'[1]Admin by Month'!L20+'[1]Membership by Month'!L20+'[1]Education by Month'!L20</f>
        <v>0</v>
      </c>
      <c r="N20" s="23">
        <f>'[1]Admin by Month'!M20+'[1]Membership by Month'!M20+'[1]Education by Month'!M20</f>
        <v>0</v>
      </c>
      <c r="O20" s="23">
        <f>'[1]Admin by Month'!N20+'[1]Membership by Month'!N20+'[1]Education by Month'!N20</f>
        <v>0</v>
      </c>
      <c r="P20" s="23">
        <f>'[1]Admin by Month'!O20+'[1]Membership by Month'!O20+'[1]Education by Month'!O20</f>
        <v>0</v>
      </c>
      <c r="Q20" s="23">
        <f>'[1]Admin by Month'!P20+'[1]Membership by Month'!P20+'[1]Education by Month'!P20</f>
        <v>0</v>
      </c>
      <c r="R20" s="23">
        <f>'[1]Admin by Month'!Q20+'[1]Membership by Month'!Q20+'[1]Education by Month'!Q20</f>
        <v>0</v>
      </c>
      <c r="S20" s="23">
        <f>'[1]Admin by Month'!R20+'[1]Membership by Month'!R20+'[1]Education by Month'!R20</f>
        <v>0</v>
      </c>
      <c r="T20" s="23">
        <f>'[1]Admin by Month'!S20+'[1]Membership by Month'!S20+'[1]Education by Month'!S20</f>
        <v>65163</v>
      </c>
      <c r="U20" s="23">
        <f>'[1]Admin by Month'!T20+'[1]Membership by Month'!T20+'[1]Education by Month'!T20</f>
        <v>0</v>
      </c>
      <c r="V20" s="23">
        <f>'[1]Admin by Month'!U20+'[1]Membership by Month'!U20+'[1]Education by Month'!U20</f>
        <v>0</v>
      </c>
      <c r="W20" s="23">
        <f t="shared" si="5"/>
        <v>65163</v>
      </c>
      <c r="Y20" s="25">
        <f t="shared" si="2"/>
        <v>0</v>
      </c>
    </row>
    <row r="21" spans="1:25" x14ac:dyDescent="0.35">
      <c r="A21" s="4" t="s">
        <v>150</v>
      </c>
      <c r="B21" s="5" t="s">
        <v>184</v>
      </c>
      <c r="C21" s="22"/>
      <c r="D21" s="22"/>
      <c r="E21" s="26">
        <v>26560</v>
      </c>
      <c r="F21" s="23">
        <f t="shared" si="0"/>
        <v>26560</v>
      </c>
      <c r="K21" s="23">
        <f>'[1]Admin by Month'!J21+'[1]Membership by Month'!J21+'[1]Education by Month'!J21</f>
        <v>0</v>
      </c>
      <c r="L21" s="23">
        <f>'[1]Admin by Month'!K21+'[1]Membership by Month'!K21+'[1]Education by Month'!K21</f>
        <v>0</v>
      </c>
      <c r="M21" s="23">
        <f>'[1]Admin by Month'!L21+'[1]Membership by Month'!L21+'[1]Education by Month'!L21</f>
        <v>0</v>
      </c>
      <c r="N21" s="23">
        <f>'[1]Admin by Month'!M21+'[1]Membership by Month'!M21+'[1]Education by Month'!M21</f>
        <v>0</v>
      </c>
      <c r="O21" s="23">
        <f>'[1]Admin by Month'!N21+'[1]Membership by Month'!N21+'[1]Education by Month'!N21</f>
        <v>0</v>
      </c>
      <c r="P21" s="23">
        <f>'[1]Admin by Month'!O21+'[1]Membership by Month'!O21+'[1]Education by Month'!O21</f>
        <v>0</v>
      </c>
      <c r="Q21" s="23">
        <f>'[1]Admin by Month'!P21+'[1]Membership by Month'!P21+'[1]Education by Month'!P21</f>
        <v>0</v>
      </c>
      <c r="R21" s="23">
        <f>'[1]Admin by Month'!Q21+'[1]Membership by Month'!Q21+'[1]Education by Month'!Q21</f>
        <v>0</v>
      </c>
      <c r="S21" s="23">
        <f>'[1]Admin by Month'!R21+'[1]Membership by Month'!R21+'[1]Education by Month'!R21</f>
        <v>0</v>
      </c>
      <c r="T21" s="23">
        <f>'[1]Admin by Month'!S21+'[1]Membership by Month'!S21+'[1]Education by Month'!S21</f>
        <v>26560</v>
      </c>
      <c r="U21" s="23">
        <f>'[1]Admin by Month'!T21+'[1]Membership by Month'!T21+'[1]Education by Month'!T21</f>
        <v>0</v>
      </c>
      <c r="V21" s="23">
        <f>'[1]Admin by Month'!U21+'[1]Membership by Month'!U21+'[1]Education by Month'!U21</f>
        <v>0</v>
      </c>
      <c r="W21" s="23">
        <f t="shared" si="5"/>
        <v>26560</v>
      </c>
      <c r="Y21" s="25">
        <f t="shared" si="2"/>
        <v>0</v>
      </c>
    </row>
    <row r="22" spans="1:25" x14ac:dyDescent="0.35">
      <c r="A22" s="4"/>
      <c r="B22" s="5" t="s">
        <v>185</v>
      </c>
      <c r="C22" s="28">
        <f>SUM(C19:C21)</f>
        <v>0</v>
      </c>
      <c r="D22" s="28">
        <f t="shared" ref="D22:F22" si="6">SUM(D19:D21)</f>
        <v>0</v>
      </c>
      <c r="E22" s="28">
        <f t="shared" si="6"/>
        <v>91723</v>
      </c>
      <c r="F22" s="28">
        <f t="shared" si="6"/>
        <v>91723</v>
      </c>
      <c r="G22" s="3">
        <v>91723</v>
      </c>
      <c r="H22" s="3">
        <f>F22-G22</f>
        <v>0</v>
      </c>
      <c r="K22" s="28">
        <f t="shared" ref="K22:W22" si="7">SUM(K19:K21)</f>
        <v>0</v>
      </c>
      <c r="L22" s="28">
        <f t="shared" si="7"/>
        <v>0</v>
      </c>
      <c r="M22" s="28">
        <f t="shared" si="7"/>
        <v>0</v>
      </c>
      <c r="N22" s="28">
        <f t="shared" si="7"/>
        <v>0</v>
      </c>
      <c r="O22" s="28">
        <f t="shared" si="7"/>
        <v>0</v>
      </c>
      <c r="P22" s="28">
        <f t="shared" si="7"/>
        <v>0</v>
      </c>
      <c r="Q22" s="28">
        <f t="shared" si="7"/>
        <v>0</v>
      </c>
      <c r="R22" s="28">
        <f t="shared" si="7"/>
        <v>0</v>
      </c>
      <c r="S22" s="28">
        <f t="shared" si="7"/>
        <v>0</v>
      </c>
      <c r="T22" s="28">
        <f t="shared" si="7"/>
        <v>91723</v>
      </c>
      <c r="U22" s="28">
        <f t="shared" si="7"/>
        <v>0</v>
      </c>
      <c r="V22" s="28">
        <f t="shared" si="7"/>
        <v>0</v>
      </c>
      <c r="W22" s="28">
        <f t="shared" si="7"/>
        <v>91723</v>
      </c>
      <c r="Y22" s="25">
        <f t="shared" si="2"/>
        <v>0</v>
      </c>
    </row>
    <row r="23" spans="1:25" x14ac:dyDescent="0.35">
      <c r="A23" t="s">
        <v>165</v>
      </c>
      <c r="B23" s="5" t="s">
        <v>167</v>
      </c>
      <c r="C23" s="29"/>
      <c r="D23" s="29"/>
      <c r="E23" s="29"/>
      <c r="F23" s="30">
        <f t="shared" ref="F23:F25" si="8">SUM(C23:E23)</f>
        <v>0</v>
      </c>
      <c r="K23" s="30">
        <f t="shared" ref="K23:W23" si="9">SUM(H23:J23)</f>
        <v>0</v>
      </c>
      <c r="L23" s="30">
        <f t="shared" si="9"/>
        <v>0</v>
      </c>
      <c r="M23" s="30">
        <f t="shared" si="9"/>
        <v>0</v>
      </c>
      <c r="N23" s="30">
        <f t="shared" si="9"/>
        <v>0</v>
      </c>
      <c r="O23" s="30">
        <f t="shared" si="9"/>
        <v>0</v>
      </c>
      <c r="P23" s="30">
        <f t="shared" si="9"/>
        <v>0</v>
      </c>
      <c r="Q23" s="30">
        <f t="shared" si="9"/>
        <v>0</v>
      </c>
      <c r="R23" s="30">
        <f t="shared" si="9"/>
        <v>0</v>
      </c>
      <c r="S23" s="30">
        <f t="shared" si="9"/>
        <v>0</v>
      </c>
      <c r="T23" s="30">
        <f t="shared" si="9"/>
        <v>0</v>
      </c>
      <c r="U23" s="30">
        <f t="shared" si="9"/>
        <v>0</v>
      </c>
      <c r="V23" s="30">
        <f t="shared" si="9"/>
        <v>0</v>
      </c>
      <c r="W23" s="30">
        <f t="shared" si="9"/>
        <v>0</v>
      </c>
      <c r="Y23" s="25">
        <f t="shared" si="2"/>
        <v>0</v>
      </c>
    </row>
    <row r="24" spans="1:25" x14ac:dyDescent="0.35">
      <c r="A24" t="s">
        <v>165</v>
      </c>
      <c r="B24" s="5" t="s">
        <v>186</v>
      </c>
      <c r="C24" s="23"/>
      <c r="D24" s="23"/>
      <c r="E24" s="26">
        <v>65840.5</v>
      </c>
      <c r="F24" s="23">
        <f t="shared" si="8"/>
        <v>65840.5</v>
      </c>
      <c r="K24" s="23">
        <f>'[1]Admin by Month'!J24+'[1]Membership by Month'!J24+'[1]Education by Month'!J24</f>
        <v>331.45833340000001</v>
      </c>
      <c r="L24" s="23">
        <f>'[1]Admin by Month'!K24+'[1]Membership by Month'!K24+'[1]Education by Month'!K24</f>
        <v>7911.4583333999999</v>
      </c>
      <c r="M24" s="23">
        <f>'[1]Admin by Month'!L24+'[1]Membership by Month'!L24+'[1]Education by Month'!L24</f>
        <v>331.45833340000001</v>
      </c>
      <c r="N24" s="23">
        <f>'[1]Admin by Month'!M24+'[1]Membership by Month'!M24+'[1]Education by Month'!M24</f>
        <v>331.45833340000001</v>
      </c>
      <c r="O24" s="23">
        <f>'[1]Admin by Month'!N24+'[1]Membership by Month'!N24+'[1]Education by Month'!N24</f>
        <v>7269.4583333999999</v>
      </c>
      <c r="P24" s="23">
        <f>'[1]Admin by Month'!O24+'[1]Membership by Month'!O24+'[1]Education by Month'!O24</f>
        <v>5056.4583333999999</v>
      </c>
      <c r="Q24" s="23">
        <f>'[1]Admin by Month'!P24+'[1]Membership by Month'!P24+'[1]Education by Month'!P24</f>
        <v>5796.4583333999999</v>
      </c>
      <c r="R24" s="23">
        <f>'[1]Admin by Month'!Q24+'[1]Membership by Month'!Q24+'[1]Education by Month'!Q24</f>
        <v>33456.458333399998</v>
      </c>
      <c r="S24" s="23">
        <f>'[1]Admin by Month'!R24+'[1]Membership by Month'!R24+'[1]Education by Month'!R24</f>
        <v>2131.4583333999999</v>
      </c>
      <c r="T24" s="23">
        <f>'[1]Admin by Month'!S24+'[1]Membership by Month'!S24+'[1]Education by Month'!S24</f>
        <v>331.45833340000001</v>
      </c>
      <c r="U24" s="23">
        <f>'[1]Admin by Month'!T24+'[1]Membership by Month'!T24+'[1]Education by Month'!T24</f>
        <v>2561.4583333999999</v>
      </c>
      <c r="V24" s="23">
        <f>'[1]Admin by Month'!U24+'[1]Membership by Month'!U24+'[1]Education by Month'!U24</f>
        <v>331.45833340000001</v>
      </c>
      <c r="W24" s="23">
        <f t="shared" ref="W24:W25" si="10">SUM(K24:V24)</f>
        <v>65840.500000799992</v>
      </c>
      <c r="Y24" s="25">
        <f t="shared" si="2"/>
        <v>-7.9999153967946768E-7</v>
      </c>
    </row>
    <row r="25" spans="1:25" x14ac:dyDescent="0.35">
      <c r="A25" t="s">
        <v>165</v>
      </c>
      <c r="B25" s="5" t="s">
        <v>249</v>
      </c>
      <c r="C25" s="24"/>
      <c r="D25" s="24">
        <v>0</v>
      </c>
      <c r="E25" s="24">
        <v>1000</v>
      </c>
      <c r="F25" s="23">
        <f t="shared" si="8"/>
        <v>1000</v>
      </c>
      <c r="K25" s="23">
        <f>'[1]Admin by Month'!J25+'[1]Membership by Month'!J25+'[1]Education by Month'!J25</f>
        <v>0</v>
      </c>
      <c r="L25" s="23">
        <f>'[1]Admin by Month'!K25+'[1]Membership by Month'!K25+'[1]Education by Month'!K25</f>
        <v>0</v>
      </c>
      <c r="M25" s="23">
        <f>'[1]Admin by Month'!L25+'[1]Membership by Month'!L25+'[1]Education by Month'!L25</f>
        <v>0</v>
      </c>
      <c r="N25" s="23">
        <f>'[1]Admin by Month'!M25+'[1]Membership by Month'!M25+'[1]Education by Month'!M25</f>
        <v>0</v>
      </c>
      <c r="O25" s="23">
        <f>'[1]Admin by Month'!N25+'[1]Membership by Month'!N25+'[1]Education by Month'!N25</f>
        <v>0</v>
      </c>
      <c r="P25" s="23">
        <f>'[1]Admin by Month'!O25+'[1]Membership by Month'!O25+'[1]Education by Month'!O25</f>
        <v>0</v>
      </c>
      <c r="Q25" s="23">
        <f>'[1]Admin by Month'!P25+'[1]Membership by Month'!P25+'[1]Education by Month'!P25</f>
        <v>1000</v>
      </c>
      <c r="R25" s="23">
        <f>'[1]Admin by Month'!Q25+'[1]Membership by Month'!Q25+'[1]Education by Month'!Q25</f>
        <v>0</v>
      </c>
      <c r="S25" s="23">
        <f>'[1]Admin by Month'!R25+'[1]Membership by Month'!R25+'[1]Education by Month'!R25</f>
        <v>0</v>
      </c>
      <c r="T25" s="23">
        <f>'[1]Admin by Month'!S25+'[1]Membership by Month'!S25+'[1]Education by Month'!S25</f>
        <v>0</v>
      </c>
      <c r="U25" s="23">
        <f>'[1]Admin by Month'!T25+'[1]Membership by Month'!T25+'[1]Education by Month'!T25</f>
        <v>0</v>
      </c>
      <c r="V25" s="23">
        <f>'[1]Admin by Month'!U25+'[1]Membership by Month'!U25+'[1]Education by Month'!U25</f>
        <v>0</v>
      </c>
      <c r="W25" s="23">
        <f t="shared" si="10"/>
        <v>1000</v>
      </c>
      <c r="Y25" s="25">
        <f t="shared" si="2"/>
        <v>0</v>
      </c>
    </row>
    <row r="26" spans="1:25" x14ac:dyDescent="0.35">
      <c r="B26" s="5" t="s">
        <v>168</v>
      </c>
      <c r="C26" s="27">
        <f>SUM(C23:C25)</f>
        <v>0</v>
      </c>
      <c r="D26" s="27">
        <f t="shared" ref="D26:E26" si="11">SUM(D23:D25)</f>
        <v>0</v>
      </c>
      <c r="E26" s="27">
        <f t="shared" si="11"/>
        <v>66840.5</v>
      </c>
      <c r="F26" s="27">
        <f>SUM(F23:F25)</f>
        <v>66840.5</v>
      </c>
      <c r="G26" s="3">
        <v>65840.5</v>
      </c>
      <c r="H26" s="3">
        <f>F26-G26</f>
        <v>1000</v>
      </c>
      <c r="I26" t="s">
        <v>250</v>
      </c>
      <c r="K26" s="27">
        <f t="shared" ref="K26:W26" si="12">SUM(K23:K25)</f>
        <v>331.45833340000001</v>
      </c>
      <c r="L26" s="27">
        <f t="shared" si="12"/>
        <v>7911.4583333999999</v>
      </c>
      <c r="M26" s="27">
        <f t="shared" si="12"/>
        <v>331.45833340000001</v>
      </c>
      <c r="N26" s="27">
        <f t="shared" si="12"/>
        <v>331.45833340000001</v>
      </c>
      <c r="O26" s="27">
        <f t="shared" si="12"/>
        <v>7269.4583333999999</v>
      </c>
      <c r="P26" s="27">
        <f t="shared" si="12"/>
        <v>5056.4583333999999</v>
      </c>
      <c r="Q26" s="27">
        <f t="shared" si="12"/>
        <v>6796.4583333999999</v>
      </c>
      <c r="R26" s="27">
        <f t="shared" si="12"/>
        <v>33456.458333399998</v>
      </c>
      <c r="S26" s="27">
        <f t="shared" si="12"/>
        <v>2131.4583333999999</v>
      </c>
      <c r="T26" s="27">
        <f t="shared" si="12"/>
        <v>331.45833340000001</v>
      </c>
      <c r="U26" s="27">
        <f t="shared" si="12"/>
        <v>2561.4583333999999</v>
      </c>
      <c r="V26" s="27">
        <f t="shared" si="12"/>
        <v>331.45833340000001</v>
      </c>
      <c r="W26" s="27">
        <f t="shared" si="12"/>
        <v>66840.500000799992</v>
      </c>
      <c r="Y26" s="25">
        <f t="shared" si="2"/>
        <v>-7.9999153967946768E-7</v>
      </c>
    </row>
    <row r="27" spans="1:25" x14ac:dyDescent="0.35">
      <c r="B27" s="5" t="s">
        <v>187</v>
      </c>
      <c r="C27" s="27">
        <f>SUM(C22,C26)</f>
        <v>0</v>
      </c>
      <c r="D27" s="27">
        <f t="shared" ref="D27:F27" si="13">SUM(D22,D26)</f>
        <v>0</v>
      </c>
      <c r="E27" s="27">
        <f t="shared" si="13"/>
        <v>158563.5</v>
      </c>
      <c r="F27" s="27">
        <f t="shared" si="13"/>
        <v>158563.5</v>
      </c>
      <c r="G27" s="3">
        <v>157563.5</v>
      </c>
      <c r="H27" s="3">
        <f>F27-G27</f>
        <v>1000</v>
      </c>
      <c r="K27" s="27">
        <f t="shared" ref="K27:W27" si="14">SUM(K22,K26)</f>
        <v>331.45833340000001</v>
      </c>
      <c r="L27" s="27">
        <f t="shared" si="14"/>
        <v>7911.4583333999999</v>
      </c>
      <c r="M27" s="27">
        <f t="shared" si="14"/>
        <v>331.45833340000001</v>
      </c>
      <c r="N27" s="27">
        <f t="shared" si="14"/>
        <v>331.45833340000001</v>
      </c>
      <c r="O27" s="27">
        <f t="shared" si="14"/>
        <v>7269.4583333999999</v>
      </c>
      <c r="P27" s="27">
        <f t="shared" si="14"/>
        <v>5056.4583333999999</v>
      </c>
      <c r="Q27" s="27">
        <f t="shared" si="14"/>
        <v>6796.4583333999999</v>
      </c>
      <c r="R27" s="27">
        <f t="shared" si="14"/>
        <v>33456.458333399998</v>
      </c>
      <c r="S27" s="27">
        <f t="shared" si="14"/>
        <v>2131.4583333999999</v>
      </c>
      <c r="T27" s="27">
        <f t="shared" si="14"/>
        <v>92054.458333400005</v>
      </c>
      <c r="U27" s="27">
        <f t="shared" si="14"/>
        <v>2561.4583333999999</v>
      </c>
      <c r="V27" s="27">
        <f t="shared" si="14"/>
        <v>331.45833340000001</v>
      </c>
      <c r="W27" s="27">
        <f t="shared" si="14"/>
        <v>158563.50000080001</v>
      </c>
      <c r="Y27" s="25">
        <f t="shared" si="2"/>
        <v>-8.0000609159469604E-7</v>
      </c>
    </row>
    <row r="28" spans="1:25" x14ac:dyDescent="0.35">
      <c r="A28" s="4" t="s">
        <v>142</v>
      </c>
      <c r="B28" s="5" t="s">
        <v>188</v>
      </c>
      <c r="C28" s="29"/>
      <c r="D28" s="29"/>
      <c r="E28" s="29"/>
      <c r="F28" s="30">
        <f t="shared" ref="F28:F33" si="15">SUM(C28:E28)</f>
        <v>0</v>
      </c>
      <c r="K28" s="29"/>
      <c r="L28" s="29"/>
      <c r="M28" s="29"/>
      <c r="N28" s="30"/>
      <c r="O28" s="29"/>
      <c r="P28" s="29"/>
      <c r="Q28" s="29"/>
      <c r="R28" s="30"/>
      <c r="S28" s="29"/>
      <c r="T28" s="29"/>
      <c r="U28" s="29"/>
      <c r="V28" s="30"/>
      <c r="W28" s="23">
        <f t="shared" ref="W28:W33" si="16">SUM(K28:V28)</f>
        <v>0</v>
      </c>
      <c r="Y28" s="25">
        <f t="shared" si="2"/>
        <v>0</v>
      </c>
    </row>
    <row r="29" spans="1:25" x14ac:dyDescent="0.35">
      <c r="A29" s="4" t="s">
        <v>142</v>
      </c>
      <c r="B29" s="5" t="s">
        <v>189</v>
      </c>
      <c r="C29" s="24">
        <v>1750</v>
      </c>
      <c r="D29" s="24">
        <v>0</v>
      </c>
      <c r="E29" s="24">
        <v>0</v>
      </c>
      <c r="F29" s="23">
        <f t="shared" si="15"/>
        <v>1750</v>
      </c>
      <c r="K29" s="23">
        <f>'[1]Admin by Month'!J29+'[1]Membership by Month'!J29+'[1]Education by Month'!J29</f>
        <v>145.83333333333334</v>
      </c>
      <c r="L29" s="23">
        <f>'[1]Admin by Month'!K29+'[1]Membership by Month'!K29+'[1]Education by Month'!K29</f>
        <v>145.83333333333334</v>
      </c>
      <c r="M29" s="23">
        <f>'[1]Admin by Month'!L29+'[1]Membership by Month'!L29+'[1]Education by Month'!L29</f>
        <v>145.83333333333334</v>
      </c>
      <c r="N29" s="23">
        <f>'[1]Admin by Month'!M29+'[1]Membership by Month'!M29+'[1]Education by Month'!M29</f>
        <v>145.83333333333334</v>
      </c>
      <c r="O29" s="23">
        <f>'[1]Admin by Month'!N29+'[1]Membership by Month'!N29+'[1]Education by Month'!N29</f>
        <v>145.83333333333334</v>
      </c>
      <c r="P29" s="23">
        <f>'[1]Admin by Month'!O29+'[1]Membership by Month'!O29+'[1]Education by Month'!O29</f>
        <v>145.83333333333334</v>
      </c>
      <c r="Q29" s="23">
        <f>'[1]Admin by Month'!P29+'[1]Membership by Month'!P29+'[1]Education by Month'!P29</f>
        <v>145.83333333333334</v>
      </c>
      <c r="R29" s="23">
        <f>'[1]Admin by Month'!Q29+'[1]Membership by Month'!Q29+'[1]Education by Month'!Q29</f>
        <v>145.83333333333334</v>
      </c>
      <c r="S29" s="23">
        <f>'[1]Admin by Month'!R29+'[1]Membership by Month'!R29+'[1]Education by Month'!R29</f>
        <v>145.83333333333334</v>
      </c>
      <c r="T29" s="23">
        <f>'[1]Admin by Month'!S29+'[1]Membership by Month'!S29+'[1]Education by Month'!S29</f>
        <v>145.83333333333334</v>
      </c>
      <c r="U29" s="23">
        <f>'[1]Admin by Month'!T29+'[1]Membership by Month'!T29+'[1]Education by Month'!T29</f>
        <v>145.83333333333334</v>
      </c>
      <c r="V29" s="23">
        <f>'[1]Admin by Month'!U29+'[1]Membership by Month'!U29+'[1]Education by Month'!U29</f>
        <v>145.83333333333334</v>
      </c>
      <c r="W29" s="23">
        <f t="shared" si="16"/>
        <v>1749.9999999999998</v>
      </c>
      <c r="Y29" s="25">
        <f t="shared" si="2"/>
        <v>0</v>
      </c>
    </row>
    <row r="30" spans="1:25" x14ac:dyDescent="0.35">
      <c r="A30" s="4" t="s">
        <v>142</v>
      </c>
      <c r="B30" s="5" t="s">
        <v>190</v>
      </c>
      <c r="C30" s="24">
        <v>1500</v>
      </c>
      <c r="D30" s="24">
        <v>0</v>
      </c>
      <c r="E30" s="24">
        <v>0</v>
      </c>
      <c r="F30" s="23">
        <f t="shared" si="15"/>
        <v>1500</v>
      </c>
      <c r="K30" s="23">
        <f>'[1]Admin by Month'!J30+'[1]Membership by Month'!J30+'[1]Education by Month'!J30</f>
        <v>125</v>
      </c>
      <c r="L30" s="23">
        <f>'[1]Admin by Month'!K30+'[1]Membership by Month'!K30+'[1]Education by Month'!K30</f>
        <v>125</v>
      </c>
      <c r="M30" s="23">
        <f>'[1]Admin by Month'!L30+'[1]Membership by Month'!L30+'[1]Education by Month'!L30</f>
        <v>125</v>
      </c>
      <c r="N30" s="23">
        <f>'[1]Admin by Month'!M30+'[1]Membership by Month'!M30+'[1]Education by Month'!M30</f>
        <v>125</v>
      </c>
      <c r="O30" s="23">
        <f>'[1]Admin by Month'!N30+'[1]Membership by Month'!N30+'[1]Education by Month'!N30</f>
        <v>125</v>
      </c>
      <c r="P30" s="23">
        <f>'[1]Admin by Month'!O30+'[1]Membership by Month'!O30+'[1]Education by Month'!O30</f>
        <v>125</v>
      </c>
      <c r="Q30" s="23">
        <f>'[1]Admin by Month'!P30+'[1]Membership by Month'!P30+'[1]Education by Month'!P30</f>
        <v>125</v>
      </c>
      <c r="R30" s="23">
        <f>'[1]Admin by Month'!Q30+'[1]Membership by Month'!Q30+'[1]Education by Month'!Q30</f>
        <v>125</v>
      </c>
      <c r="S30" s="23">
        <f>'[1]Admin by Month'!R30+'[1]Membership by Month'!R30+'[1]Education by Month'!R30</f>
        <v>125</v>
      </c>
      <c r="T30" s="23">
        <f>'[1]Admin by Month'!S30+'[1]Membership by Month'!S30+'[1]Education by Month'!S30</f>
        <v>125</v>
      </c>
      <c r="U30" s="23">
        <f>'[1]Admin by Month'!T30+'[1]Membership by Month'!T30+'[1]Education by Month'!T30</f>
        <v>125</v>
      </c>
      <c r="V30" s="23">
        <f>'[1]Admin by Month'!U30+'[1]Membership by Month'!U30+'[1]Education by Month'!U30</f>
        <v>125</v>
      </c>
      <c r="W30" s="23">
        <f t="shared" si="16"/>
        <v>1500</v>
      </c>
      <c r="Y30" s="25">
        <f t="shared" si="2"/>
        <v>0</v>
      </c>
    </row>
    <row r="31" spans="1:25" x14ac:dyDescent="0.35">
      <c r="A31" s="4" t="s">
        <v>142</v>
      </c>
      <c r="B31" s="5" t="s">
        <v>191</v>
      </c>
      <c r="C31" s="24">
        <v>150</v>
      </c>
      <c r="D31" s="24">
        <v>0</v>
      </c>
      <c r="E31" s="24">
        <v>0</v>
      </c>
      <c r="F31" s="23">
        <f t="shared" si="15"/>
        <v>150</v>
      </c>
      <c r="K31" s="23">
        <f>'[1]Admin by Month'!J31+'[1]Membership by Month'!J31+'[1]Education by Month'!J31</f>
        <v>12.5</v>
      </c>
      <c r="L31" s="23">
        <f>'[1]Admin by Month'!K31+'[1]Membership by Month'!K31+'[1]Education by Month'!K31</f>
        <v>12.5</v>
      </c>
      <c r="M31" s="23">
        <f>'[1]Admin by Month'!L31+'[1]Membership by Month'!L31+'[1]Education by Month'!L31</f>
        <v>12.5</v>
      </c>
      <c r="N31" s="23">
        <f>'[1]Admin by Month'!M31+'[1]Membership by Month'!M31+'[1]Education by Month'!M31</f>
        <v>12.5</v>
      </c>
      <c r="O31" s="23">
        <f>'[1]Admin by Month'!N31+'[1]Membership by Month'!N31+'[1]Education by Month'!N31</f>
        <v>12.5</v>
      </c>
      <c r="P31" s="23">
        <f>'[1]Admin by Month'!O31+'[1]Membership by Month'!O31+'[1]Education by Month'!O31</f>
        <v>12.5</v>
      </c>
      <c r="Q31" s="23">
        <f>'[1]Admin by Month'!P31+'[1]Membership by Month'!P31+'[1]Education by Month'!P31</f>
        <v>12.5</v>
      </c>
      <c r="R31" s="23">
        <f>'[1]Admin by Month'!Q31+'[1]Membership by Month'!Q31+'[1]Education by Month'!Q31</f>
        <v>12.5</v>
      </c>
      <c r="S31" s="23">
        <f>'[1]Admin by Month'!R31+'[1]Membership by Month'!R31+'[1]Education by Month'!R31</f>
        <v>12.5</v>
      </c>
      <c r="T31" s="23">
        <f>'[1]Admin by Month'!S31+'[1]Membership by Month'!S31+'[1]Education by Month'!S31</f>
        <v>12.5</v>
      </c>
      <c r="U31" s="23">
        <f>'[1]Admin by Month'!T31+'[1]Membership by Month'!T31+'[1]Education by Month'!T31</f>
        <v>12.5</v>
      </c>
      <c r="V31" s="23">
        <f>'[1]Admin by Month'!U31+'[1]Membership by Month'!U31+'[1]Education by Month'!U31</f>
        <v>12.5</v>
      </c>
      <c r="W31" s="23">
        <f t="shared" si="16"/>
        <v>150</v>
      </c>
      <c r="Y31" s="25">
        <f t="shared" si="2"/>
        <v>0</v>
      </c>
    </row>
    <row r="32" spans="1:25" x14ac:dyDescent="0.35">
      <c r="A32" s="4" t="s">
        <v>142</v>
      </c>
      <c r="B32" s="5" t="s">
        <v>192</v>
      </c>
      <c r="C32" s="26">
        <v>3500</v>
      </c>
      <c r="D32" s="26"/>
      <c r="E32" s="26"/>
      <c r="F32" s="30">
        <f t="shared" si="15"/>
        <v>3500</v>
      </c>
      <c r="K32" s="23">
        <f>'[1]Admin by Month'!J32+'[1]Membership by Month'!J32+'[1]Education by Month'!J32</f>
        <v>0</v>
      </c>
      <c r="L32" s="23">
        <f>'[1]Admin by Month'!K32+'[1]Membership by Month'!K32+'[1]Education by Month'!K32</f>
        <v>0</v>
      </c>
      <c r="M32" s="23">
        <f>'[1]Admin by Month'!L32+'[1]Membership by Month'!L32+'[1]Education by Month'!L32</f>
        <v>0</v>
      </c>
      <c r="N32" s="23">
        <f>'[1]Admin by Month'!M32+'[1]Membership by Month'!M32+'[1]Education by Month'!M32</f>
        <v>0</v>
      </c>
      <c r="O32" s="23">
        <f>'[1]Admin by Month'!N32+'[1]Membership by Month'!N32+'[1]Education by Month'!N32</f>
        <v>0</v>
      </c>
      <c r="P32" s="23">
        <f>'[1]Admin by Month'!O32+'[1]Membership by Month'!O32+'[1]Education by Month'!O32</f>
        <v>0</v>
      </c>
      <c r="Q32" s="23">
        <f>'[1]Admin by Month'!P32+'[1]Membership by Month'!P32+'[1]Education by Month'!P32</f>
        <v>0</v>
      </c>
      <c r="R32" s="23">
        <f>'[1]Admin by Month'!Q32+'[1]Membership by Month'!Q32+'[1]Education by Month'!Q32</f>
        <v>0</v>
      </c>
      <c r="S32" s="23">
        <f>'[1]Admin by Month'!R32+'[1]Membership by Month'!R32+'[1]Education by Month'!R32</f>
        <v>0</v>
      </c>
      <c r="T32" s="23">
        <f>'[1]Admin by Month'!S32+'[1]Membership by Month'!S32+'[1]Education by Month'!S32</f>
        <v>0</v>
      </c>
      <c r="U32" s="23">
        <f>'[1]Admin by Month'!T32+'[1]Membership by Month'!T32+'[1]Education by Month'!T32</f>
        <v>0</v>
      </c>
      <c r="V32" s="23">
        <f>'[1]Admin by Month'!U32+'[1]Membership by Month'!U32+'[1]Education by Month'!U32</f>
        <v>3500</v>
      </c>
      <c r="W32" s="23">
        <f t="shared" si="16"/>
        <v>3500</v>
      </c>
      <c r="Y32" s="25">
        <f t="shared" si="2"/>
        <v>0</v>
      </c>
    </row>
    <row r="33" spans="1:25" x14ac:dyDescent="0.35">
      <c r="A33" s="4" t="s">
        <v>142</v>
      </c>
      <c r="B33" s="5" t="s">
        <v>193</v>
      </c>
      <c r="C33" s="24">
        <v>5500</v>
      </c>
      <c r="D33" s="24"/>
      <c r="E33" s="24">
        <v>0</v>
      </c>
      <c r="F33" s="23">
        <f t="shared" si="15"/>
        <v>5500</v>
      </c>
      <c r="K33" s="23">
        <f>'[1]Admin by Month'!J33+'[1]Membership by Month'!J33+'[1]Education by Month'!J33</f>
        <v>0</v>
      </c>
      <c r="L33" s="23">
        <f>'[1]Admin by Month'!K33+'[1]Membership by Month'!K33+'[1]Education by Month'!K33</f>
        <v>0</v>
      </c>
      <c r="M33" s="23">
        <f>'[1]Admin by Month'!L33+'[1]Membership by Month'!L33+'[1]Education by Month'!L33</f>
        <v>0</v>
      </c>
      <c r="N33" s="23">
        <f>'[1]Admin by Month'!M33+'[1]Membership by Month'!M33+'[1]Education by Month'!M33</f>
        <v>0</v>
      </c>
      <c r="O33" s="23">
        <f>'[1]Admin by Month'!N33+'[1]Membership by Month'!N33+'[1]Education by Month'!N33</f>
        <v>0</v>
      </c>
      <c r="P33" s="23">
        <f>'[1]Admin by Month'!O33+'[1]Membership by Month'!O33+'[1]Education by Month'!O33</f>
        <v>0</v>
      </c>
      <c r="Q33" s="23">
        <f>'[1]Admin by Month'!P33+'[1]Membership by Month'!P33+'[1]Education by Month'!P33</f>
        <v>0</v>
      </c>
      <c r="R33" s="23">
        <f>'[1]Admin by Month'!Q33+'[1]Membership by Month'!Q33+'[1]Education by Month'!Q33</f>
        <v>0</v>
      </c>
      <c r="S33" s="23">
        <f>'[1]Admin by Month'!R33+'[1]Membership by Month'!R33+'[1]Education by Month'!R33</f>
        <v>0</v>
      </c>
      <c r="T33" s="23">
        <f>'[1]Admin by Month'!S33+'[1]Membership by Month'!S33+'[1]Education by Month'!S33</f>
        <v>0</v>
      </c>
      <c r="U33" s="23">
        <f>'[1]Admin by Month'!T33+'[1]Membership by Month'!T33+'[1]Education by Month'!T33</f>
        <v>0</v>
      </c>
      <c r="V33" s="23">
        <f>'[1]Admin by Month'!U33+'[1]Membership by Month'!U33+'[1]Education by Month'!U33</f>
        <v>5500</v>
      </c>
      <c r="W33" s="23">
        <f t="shared" si="16"/>
        <v>5500</v>
      </c>
      <c r="Y33" s="25">
        <f t="shared" si="2"/>
        <v>0</v>
      </c>
    </row>
    <row r="34" spans="1:25" x14ac:dyDescent="0.35">
      <c r="B34" s="5" t="s">
        <v>194</v>
      </c>
      <c r="C34" s="27">
        <f>SUM(C28:C33)</f>
        <v>12400</v>
      </c>
      <c r="D34" s="27">
        <f t="shared" ref="D34:F34" si="17">SUM(D28:D33)</f>
        <v>0</v>
      </c>
      <c r="E34" s="27">
        <f t="shared" si="17"/>
        <v>0</v>
      </c>
      <c r="F34" s="27">
        <f t="shared" si="17"/>
        <v>12400</v>
      </c>
      <c r="G34" s="3">
        <v>34150</v>
      </c>
      <c r="H34" s="3">
        <f>F34-G34</f>
        <v>-21750</v>
      </c>
      <c r="K34" s="27">
        <f t="shared" ref="K34:W34" si="18">SUM(K28:K33)</f>
        <v>283.33333333333337</v>
      </c>
      <c r="L34" s="27">
        <f t="shared" si="18"/>
        <v>283.33333333333337</v>
      </c>
      <c r="M34" s="27">
        <f t="shared" si="18"/>
        <v>283.33333333333337</v>
      </c>
      <c r="N34" s="27">
        <f t="shared" si="18"/>
        <v>283.33333333333337</v>
      </c>
      <c r="O34" s="27">
        <f t="shared" si="18"/>
        <v>283.33333333333337</v>
      </c>
      <c r="P34" s="27">
        <f t="shared" si="18"/>
        <v>283.33333333333337</v>
      </c>
      <c r="Q34" s="27">
        <f t="shared" si="18"/>
        <v>283.33333333333337</v>
      </c>
      <c r="R34" s="27">
        <f t="shared" si="18"/>
        <v>283.33333333333337</v>
      </c>
      <c r="S34" s="27">
        <f t="shared" si="18"/>
        <v>283.33333333333337</v>
      </c>
      <c r="T34" s="27">
        <f t="shared" si="18"/>
        <v>283.33333333333337</v>
      </c>
      <c r="U34" s="27">
        <f t="shared" si="18"/>
        <v>283.33333333333337</v>
      </c>
      <c r="V34" s="27">
        <f t="shared" si="18"/>
        <v>9283.3333333333339</v>
      </c>
      <c r="W34" s="27">
        <f t="shared" si="18"/>
        <v>12400</v>
      </c>
      <c r="Y34" s="25">
        <f t="shared" si="2"/>
        <v>0</v>
      </c>
    </row>
    <row r="35" spans="1:25" x14ac:dyDescent="0.35">
      <c r="A35" t="s">
        <v>166</v>
      </c>
      <c r="B35" s="5" t="s">
        <v>195</v>
      </c>
      <c r="C35" s="24"/>
      <c r="D35" s="24">
        <v>26250</v>
      </c>
      <c r="E35" s="24">
        <v>0</v>
      </c>
      <c r="F35" s="23">
        <f t="shared" ref="F35" si="19">SUM(C35:E35)</f>
        <v>26250</v>
      </c>
      <c r="G35" s="3">
        <v>5500</v>
      </c>
      <c r="H35" s="3">
        <f>F35-G35</f>
        <v>20750</v>
      </c>
      <c r="I35" t="s">
        <v>251</v>
      </c>
      <c r="K35" s="23">
        <f>'[1]Admin by Month'!J35+'[1]Membership by Month'!J35+'[1]Education by Month'!J35</f>
        <v>2187.5</v>
      </c>
      <c r="L35" s="23">
        <f>'[1]Admin by Month'!K35+'[1]Membership by Month'!K35+'[1]Education by Month'!K35</f>
        <v>2187.5</v>
      </c>
      <c r="M35" s="23">
        <f>'[1]Admin by Month'!L35+'[1]Membership by Month'!L35+'[1]Education by Month'!L35</f>
        <v>2187.5</v>
      </c>
      <c r="N35" s="23">
        <f>'[1]Admin by Month'!M35+'[1]Membership by Month'!M35+'[1]Education by Month'!M35</f>
        <v>2187.5</v>
      </c>
      <c r="O35" s="23">
        <f>'[1]Admin by Month'!N35+'[1]Membership by Month'!N35+'[1]Education by Month'!N35</f>
        <v>2187.5</v>
      </c>
      <c r="P35" s="23">
        <f>'[1]Admin by Month'!O35+'[1]Membership by Month'!O35+'[1]Education by Month'!O35</f>
        <v>2187.5</v>
      </c>
      <c r="Q35" s="23">
        <f>'[1]Admin by Month'!P35+'[1]Membership by Month'!P35+'[1]Education by Month'!P35</f>
        <v>2187.5</v>
      </c>
      <c r="R35" s="23">
        <f>'[1]Admin by Month'!Q35+'[1]Membership by Month'!Q35+'[1]Education by Month'!Q35</f>
        <v>2187.5</v>
      </c>
      <c r="S35" s="23">
        <f>'[1]Admin by Month'!R35+'[1]Membership by Month'!R35+'[1]Education by Month'!R35</f>
        <v>2187.5</v>
      </c>
      <c r="T35" s="23">
        <f>'[1]Admin by Month'!S35+'[1]Membership by Month'!S35+'[1]Education by Month'!S35</f>
        <v>2187.5</v>
      </c>
      <c r="U35" s="23">
        <f>'[1]Admin by Month'!T35+'[1]Membership by Month'!T35+'[1]Education by Month'!T35</f>
        <v>2187.5</v>
      </c>
      <c r="V35" s="23">
        <f>'[1]Admin by Month'!U35+'[1]Membership by Month'!U35+'[1]Education by Month'!U35</f>
        <v>2187.5</v>
      </c>
      <c r="W35" s="23">
        <f t="shared" ref="W35" si="20">SUM(K35:V35)</f>
        <v>26250</v>
      </c>
      <c r="Y35" s="25">
        <f t="shared" si="2"/>
        <v>0</v>
      </c>
    </row>
    <row r="36" spans="1:25" x14ac:dyDescent="0.35">
      <c r="B36" s="5" t="s">
        <v>138</v>
      </c>
      <c r="C36" s="27">
        <f>SUM(C17,C27,C34,C35)</f>
        <v>12400</v>
      </c>
      <c r="D36" s="27">
        <f t="shared" ref="D36:F36" si="21">SUM(D17,D27,D34,D35)</f>
        <v>513484</v>
      </c>
      <c r="E36" s="27">
        <f t="shared" si="21"/>
        <v>158563.5</v>
      </c>
      <c r="F36" s="27">
        <f t="shared" si="21"/>
        <v>684447.5</v>
      </c>
      <c r="G36" s="3">
        <v>706947.5</v>
      </c>
      <c r="H36" s="3">
        <f>F36-G36</f>
        <v>-22500</v>
      </c>
      <c r="I36" t="s">
        <v>252</v>
      </c>
      <c r="K36" s="27">
        <f t="shared" ref="K36:W36" si="22">SUM(K17,K27,K34,K35)</f>
        <v>43405.125000066662</v>
      </c>
      <c r="L36" s="27">
        <f t="shared" si="22"/>
        <v>50985.125000066662</v>
      </c>
      <c r="M36" s="27">
        <f t="shared" si="22"/>
        <v>43405.125000066662</v>
      </c>
      <c r="N36" s="27">
        <f t="shared" si="22"/>
        <v>43405.125000066662</v>
      </c>
      <c r="O36" s="27">
        <f t="shared" si="22"/>
        <v>50343.125000066662</v>
      </c>
      <c r="P36" s="27">
        <f t="shared" si="22"/>
        <v>48130.125000066662</v>
      </c>
      <c r="Q36" s="27">
        <f t="shared" si="22"/>
        <v>49870.125000066662</v>
      </c>
      <c r="R36" s="27">
        <f t="shared" si="22"/>
        <v>76530.125000066662</v>
      </c>
      <c r="S36" s="27">
        <f t="shared" si="22"/>
        <v>45205.125000066662</v>
      </c>
      <c r="T36" s="27">
        <f t="shared" si="22"/>
        <v>135128.12500006668</v>
      </c>
      <c r="U36" s="27">
        <f t="shared" si="22"/>
        <v>45635.125000066662</v>
      </c>
      <c r="V36" s="27">
        <f t="shared" si="22"/>
        <v>52405.125000066662</v>
      </c>
      <c r="W36" s="27">
        <f t="shared" si="22"/>
        <v>684447.50000080001</v>
      </c>
      <c r="Y36" s="25">
        <f t="shared" si="2"/>
        <v>-8.0000609159469604E-7</v>
      </c>
    </row>
    <row r="37" spans="1:25" x14ac:dyDescent="0.35">
      <c r="B37" s="5" t="s">
        <v>8</v>
      </c>
      <c r="C37" s="27">
        <f>C36</f>
        <v>12400</v>
      </c>
      <c r="D37" s="27">
        <f t="shared" ref="D37:F37" si="23">D36</f>
        <v>513484</v>
      </c>
      <c r="E37" s="27">
        <f t="shared" si="23"/>
        <v>158563.5</v>
      </c>
      <c r="F37" s="27">
        <f t="shared" si="23"/>
        <v>684447.5</v>
      </c>
      <c r="G37" s="3">
        <v>711947.5</v>
      </c>
      <c r="H37" s="3">
        <f>F37-G37</f>
        <v>-27500</v>
      </c>
      <c r="K37" s="27">
        <f t="shared" ref="K37:W37" si="24">K36</f>
        <v>43405.125000066662</v>
      </c>
      <c r="L37" s="27">
        <f t="shared" si="24"/>
        <v>50985.125000066662</v>
      </c>
      <c r="M37" s="27">
        <f t="shared" si="24"/>
        <v>43405.125000066662</v>
      </c>
      <c r="N37" s="27">
        <f t="shared" si="24"/>
        <v>43405.125000066662</v>
      </c>
      <c r="O37" s="27">
        <f t="shared" si="24"/>
        <v>50343.125000066662</v>
      </c>
      <c r="P37" s="27">
        <f t="shared" si="24"/>
        <v>48130.125000066662</v>
      </c>
      <c r="Q37" s="27">
        <f t="shared" si="24"/>
        <v>49870.125000066662</v>
      </c>
      <c r="R37" s="27">
        <f t="shared" si="24"/>
        <v>76530.125000066662</v>
      </c>
      <c r="S37" s="27">
        <f t="shared" si="24"/>
        <v>45205.125000066662</v>
      </c>
      <c r="T37" s="27">
        <f t="shared" si="24"/>
        <v>135128.12500006668</v>
      </c>
      <c r="U37" s="27">
        <f t="shared" si="24"/>
        <v>45635.125000066662</v>
      </c>
      <c r="V37" s="27">
        <f t="shared" si="24"/>
        <v>52405.125000066662</v>
      </c>
      <c r="W37" s="27">
        <f t="shared" si="24"/>
        <v>684447.50000080001</v>
      </c>
      <c r="Y37" s="25">
        <f t="shared" si="2"/>
        <v>-8.0000609159469604E-7</v>
      </c>
    </row>
    <row r="38" spans="1:25" x14ac:dyDescent="0.35">
      <c r="B38" s="5" t="s">
        <v>139</v>
      </c>
      <c r="C38" s="22"/>
      <c r="D38" s="22"/>
      <c r="E38" s="22"/>
      <c r="F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Y38" s="25">
        <f t="shared" si="2"/>
        <v>0</v>
      </c>
    </row>
    <row r="39" spans="1:25" x14ac:dyDescent="0.35">
      <c r="A39" s="4" t="s">
        <v>151</v>
      </c>
      <c r="B39" s="5" t="s">
        <v>197</v>
      </c>
      <c r="C39" s="24"/>
      <c r="D39" s="24"/>
      <c r="E39" s="24">
        <v>0</v>
      </c>
      <c r="F39" s="23">
        <f t="shared" ref="F39:F80" si="25">SUM(C39:E39)</f>
        <v>0</v>
      </c>
      <c r="K39" s="23">
        <f>'[1]Admin by Month'!J39+'[1]Membership by Month'!J39+'[1]Education by Month'!J39</f>
        <v>0</v>
      </c>
      <c r="L39" s="23">
        <f>'[1]Admin by Month'!K39+'[1]Membership by Month'!K39+'[1]Education by Month'!K39</f>
        <v>0</v>
      </c>
      <c r="M39" s="23">
        <f>'[1]Admin by Month'!L39+'[1]Membership by Month'!L39+'[1]Education by Month'!L39</f>
        <v>0</v>
      </c>
      <c r="N39" s="23">
        <f>'[1]Admin by Month'!M39+'[1]Membership by Month'!M39+'[1]Education by Month'!M39</f>
        <v>0</v>
      </c>
      <c r="O39" s="23">
        <f>'[1]Admin by Month'!N39+'[1]Membership by Month'!N39+'[1]Education by Month'!N39</f>
        <v>0</v>
      </c>
      <c r="P39" s="23">
        <f>'[1]Admin by Month'!O39+'[1]Membership by Month'!O39+'[1]Education by Month'!O39</f>
        <v>0</v>
      </c>
      <c r="Q39" s="23">
        <f>'[1]Admin by Month'!P39+'[1]Membership by Month'!P39+'[1]Education by Month'!P39</f>
        <v>0</v>
      </c>
      <c r="R39" s="23">
        <f>'[1]Admin by Month'!Q39+'[1]Membership by Month'!Q39+'[1]Education by Month'!Q39</f>
        <v>0</v>
      </c>
      <c r="S39" s="23">
        <f>'[1]Admin by Month'!R39+'[1]Membership by Month'!R39+'[1]Education by Month'!R39</f>
        <v>0</v>
      </c>
      <c r="T39" s="23">
        <f>'[1]Admin by Month'!S39+'[1]Membership by Month'!S39+'[1]Education by Month'!S39</f>
        <v>0</v>
      </c>
      <c r="U39" s="23">
        <f>'[1]Admin by Month'!T39+'[1]Membership by Month'!T39+'[1]Education by Month'!T39</f>
        <v>0</v>
      </c>
      <c r="V39" s="23">
        <f>'[1]Admin by Month'!U39+'[1]Membership by Month'!U39+'[1]Education by Month'!U39</f>
        <v>0</v>
      </c>
      <c r="W39" s="23">
        <f t="shared" ref="W39:W41" si="26">SUM(K39:V39)</f>
        <v>0</v>
      </c>
      <c r="Y39" s="25">
        <f t="shared" si="2"/>
        <v>0</v>
      </c>
    </row>
    <row r="40" spans="1:25" x14ac:dyDescent="0.35">
      <c r="A40" s="4" t="s">
        <v>151</v>
      </c>
      <c r="B40" s="5" t="s">
        <v>198</v>
      </c>
      <c r="C40" s="24"/>
      <c r="D40" s="24"/>
      <c r="E40" s="24">
        <v>41594</v>
      </c>
      <c r="F40" s="23">
        <f t="shared" si="25"/>
        <v>41594</v>
      </c>
      <c r="K40" s="23">
        <f>'[1]Admin by Month'!J40+'[1]Membership by Month'!J40+'[1]Education by Month'!J40</f>
        <v>0</v>
      </c>
      <c r="L40" s="23">
        <f>'[1]Admin by Month'!K40+'[1]Membership by Month'!K40+'[1]Education by Month'!K40</f>
        <v>0</v>
      </c>
      <c r="M40" s="23">
        <f>'[1]Admin by Month'!L40+'[1]Membership by Month'!L40+'[1]Education by Month'!L40</f>
        <v>0</v>
      </c>
      <c r="N40" s="23">
        <f>'[1]Admin by Month'!M40+'[1]Membership by Month'!M40+'[1]Education by Month'!M40</f>
        <v>0</v>
      </c>
      <c r="O40" s="23">
        <f>'[1]Admin by Month'!N40+'[1]Membership by Month'!N40+'[1]Education by Month'!N40</f>
        <v>0</v>
      </c>
      <c r="P40" s="23">
        <f>'[1]Admin by Month'!O40+'[1]Membership by Month'!O40+'[1]Education by Month'!O40</f>
        <v>0</v>
      </c>
      <c r="Q40" s="23">
        <f>'[1]Admin by Month'!P40+'[1]Membership by Month'!P40+'[1]Education by Month'!P40</f>
        <v>0</v>
      </c>
      <c r="R40" s="23">
        <f>'[1]Admin by Month'!Q40+'[1]Membership by Month'!Q40+'[1]Education by Month'!Q40</f>
        <v>0</v>
      </c>
      <c r="S40" s="23">
        <f>'[1]Admin by Month'!R40+'[1]Membership by Month'!R40+'[1]Education by Month'!R40</f>
        <v>0</v>
      </c>
      <c r="T40" s="23">
        <f>'[1]Admin by Month'!S40+'[1]Membership by Month'!S40+'[1]Education by Month'!S40</f>
        <v>41594</v>
      </c>
      <c r="U40" s="23">
        <f>'[1]Admin by Month'!T40+'[1]Membership by Month'!T40+'[1]Education by Month'!T40</f>
        <v>0</v>
      </c>
      <c r="V40" s="23">
        <f>'[1]Admin by Month'!U40+'[1]Membership by Month'!U40+'[1]Education by Month'!U40</f>
        <v>0</v>
      </c>
      <c r="W40" s="23">
        <f t="shared" si="26"/>
        <v>41594</v>
      </c>
      <c r="Y40" s="25">
        <f t="shared" si="2"/>
        <v>0</v>
      </c>
    </row>
    <row r="41" spans="1:25" x14ac:dyDescent="0.35">
      <c r="A41" s="4" t="s">
        <v>151</v>
      </c>
      <c r="B41" s="5" t="s">
        <v>186</v>
      </c>
      <c r="C41" s="26"/>
      <c r="D41" s="26"/>
      <c r="E41" s="26">
        <v>33129</v>
      </c>
      <c r="F41" s="23">
        <f t="shared" si="25"/>
        <v>33129</v>
      </c>
      <c r="K41" s="23">
        <f>'[1]Admin by Month'!J41+'[1]Membership by Month'!J41+'[1]Education by Month'!J41</f>
        <v>1369</v>
      </c>
      <c r="L41" s="23">
        <f>'[1]Admin by Month'!K41+'[1]Membership by Month'!K41+'[1]Education by Month'!K41</f>
        <v>3369</v>
      </c>
      <c r="M41" s="23">
        <f>'[1]Admin by Month'!L41+'[1]Membership by Month'!L41+'[1]Education by Month'!L41</f>
        <v>119</v>
      </c>
      <c r="N41" s="23">
        <f>'[1]Admin by Month'!M41+'[1]Membership by Month'!M41+'[1]Education by Month'!M41</f>
        <v>119</v>
      </c>
      <c r="O41" s="23">
        <f>'[1]Admin by Month'!N41+'[1]Membership by Month'!N41+'[1]Education by Month'!N41</f>
        <v>1119</v>
      </c>
      <c r="P41" s="23">
        <f>'[1]Admin by Month'!O41+'[1]Membership by Month'!O41+'[1]Education by Month'!O41</f>
        <v>619</v>
      </c>
      <c r="Q41" s="23">
        <f>'[1]Admin by Month'!P41+'[1]Membership by Month'!P41+'[1]Education by Month'!P41</f>
        <v>1119</v>
      </c>
      <c r="R41" s="23">
        <f>'[1]Admin by Month'!Q41+'[1]Membership by Month'!Q41+'[1]Education by Month'!Q41</f>
        <v>23720</v>
      </c>
      <c r="S41" s="23">
        <f>'[1]Admin by Month'!R41+'[1]Membership by Month'!R41+'[1]Education by Month'!R41</f>
        <v>1119</v>
      </c>
      <c r="T41" s="23">
        <f>'[1]Admin by Month'!S41+'[1]Membership by Month'!S41+'[1]Education by Month'!S41</f>
        <v>119</v>
      </c>
      <c r="U41" s="23">
        <f>'[1]Admin by Month'!T41+'[1]Membership by Month'!T41+'[1]Education by Month'!T41</f>
        <v>219</v>
      </c>
      <c r="V41" s="23">
        <f>'[1]Admin by Month'!U41+'[1]Membership by Month'!U41+'[1]Education by Month'!U41</f>
        <v>119</v>
      </c>
      <c r="W41" s="23">
        <f t="shared" si="26"/>
        <v>33129</v>
      </c>
      <c r="Y41" s="25">
        <f t="shared" si="2"/>
        <v>0</v>
      </c>
    </row>
    <row r="42" spans="1:25" x14ac:dyDescent="0.35">
      <c r="B42" s="5" t="s">
        <v>199</v>
      </c>
      <c r="C42" s="27">
        <f>SUM(C39:C41)</f>
        <v>0</v>
      </c>
      <c r="D42" s="27">
        <f t="shared" ref="D42:F42" si="27">SUM(D39:D41)</f>
        <v>0</v>
      </c>
      <c r="E42" s="27">
        <f t="shared" si="27"/>
        <v>74723</v>
      </c>
      <c r="F42" s="27">
        <f t="shared" si="27"/>
        <v>74723</v>
      </c>
      <c r="G42" s="3">
        <v>74723</v>
      </c>
      <c r="H42" s="3">
        <f>F42-G42</f>
        <v>0</v>
      </c>
      <c r="K42" s="27">
        <f t="shared" ref="K42:W42" si="28">SUM(K39:K41)</f>
        <v>1369</v>
      </c>
      <c r="L42" s="27">
        <f t="shared" si="28"/>
        <v>3369</v>
      </c>
      <c r="M42" s="27">
        <f t="shared" si="28"/>
        <v>119</v>
      </c>
      <c r="N42" s="27">
        <f t="shared" si="28"/>
        <v>119</v>
      </c>
      <c r="O42" s="27">
        <f t="shared" si="28"/>
        <v>1119</v>
      </c>
      <c r="P42" s="27">
        <f t="shared" si="28"/>
        <v>619</v>
      </c>
      <c r="Q42" s="27">
        <f t="shared" si="28"/>
        <v>1119</v>
      </c>
      <c r="R42" s="27">
        <f t="shared" si="28"/>
        <v>23720</v>
      </c>
      <c r="S42" s="27">
        <f t="shared" si="28"/>
        <v>1119</v>
      </c>
      <c r="T42" s="27">
        <f t="shared" si="28"/>
        <v>41713</v>
      </c>
      <c r="U42" s="27">
        <f t="shared" si="28"/>
        <v>219</v>
      </c>
      <c r="V42" s="27">
        <f t="shared" si="28"/>
        <v>119</v>
      </c>
      <c r="W42" s="27">
        <f t="shared" si="28"/>
        <v>74723</v>
      </c>
      <c r="Y42" s="25">
        <f t="shared" si="2"/>
        <v>0</v>
      </c>
    </row>
    <row r="43" spans="1:25" x14ac:dyDescent="0.35">
      <c r="A43" t="s">
        <v>155</v>
      </c>
      <c r="B43" s="5" t="s">
        <v>200</v>
      </c>
      <c r="C43" s="22"/>
      <c r="D43" s="22"/>
      <c r="E43" s="22"/>
      <c r="F43" s="23">
        <f t="shared" si="25"/>
        <v>0</v>
      </c>
      <c r="K43" s="22"/>
      <c r="L43" s="22"/>
      <c r="M43" s="22"/>
      <c r="N43" s="23"/>
      <c r="O43" s="22"/>
      <c r="P43" s="22"/>
      <c r="Q43" s="22"/>
      <c r="R43" s="23"/>
      <c r="S43" s="22"/>
      <c r="T43" s="22"/>
      <c r="U43" s="22"/>
      <c r="V43" s="23"/>
      <c r="W43" s="22"/>
      <c r="Y43" s="25">
        <f t="shared" si="2"/>
        <v>0</v>
      </c>
    </row>
    <row r="44" spans="1:25" x14ac:dyDescent="0.35">
      <c r="A44" t="s">
        <v>155</v>
      </c>
      <c r="B44" s="5" t="s">
        <v>201</v>
      </c>
      <c r="C44" s="24">
        <v>-5000</v>
      </c>
      <c r="F44" s="23">
        <f t="shared" si="25"/>
        <v>-5000</v>
      </c>
      <c r="K44" s="23">
        <f>'[1]Admin by Month'!J44+'[1]Membership by Month'!J44+'[1]Education by Month'!J44</f>
        <v>0</v>
      </c>
      <c r="L44" s="23">
        <f>'[1]Admin by Month'!K44+'[1]Membership by Month'!K44+'[1]Education by Month'!K44</f>
        <v>0</v>
      </c>
      <c r="M44" s="23">
        <f>'[1]Admin by Month'!L44+'[1]Membership by Month'!L44+'[1]Education by Month'!L44</f>
        <v>0</v>
      </c>
      <c r="N44" s="23">
        <f>'[1]Admin by Month'!M44+'[1]Membership by Month'!M44+'[1]Education by Month'!M44</f>
        <v>0</v>
      </c>
      <c r="O44" s="23">
        <f>'[1]Admin by Month'!N44+'[1]Membership by Month'!N44+'[1]Education by Month'!N44</f>
        <v>0</v>
      </c>
      <c r="P44" s="23">
        <f>'[1]Admin by Month'!O44+'[1]Membership by Month'!O44+'[1]Education by Month'!O44</f>
        <v>0</v>
      </c>
      <c r="Q44" s="23">
        <f>'[1]Admin by Month'!P44+'[1]Membership by Month'!P44+'[1]Education by Month'!P44</f>
        <v>0</v>
      </c>
      <c r="R44" s="23">
        <f>'[1]Admin by Month'!Q44+'[1]Membership by Month'!Q44+'[1]Education by Month'!Q44</f>
        <v>0</v>
      </c>
      <c r="S44" s="23">
        <f>'[1]Admin by Month'!R44+'[1]Membership by Month'!R44+'[1]Education by Month'!R44</f>
        <v>0</v>
      </c>
      <c r="T44" s="23">
        <f>'[1]Admin by Month'!S44+'[1]Membership by Month'!S44+'[1]Education by Month'!S44</f>
        <v>0</v>
      </c>
      <c r="U44" s="23">
        <f>'[1]Admin by Month'!T44+'[1]Membership by Month'!T44+'[1]Education by Month'!T44</f>
        <v>0</v>
      </c>
      <c r="V44" s="23">
        <f>'[1]Admin by Month'!U44+'[1]Membership by Month'!U44+'[1]Education by Month'!U44</f>
        <v>-5000</v>
      </c>
      <c r="W44" s="23">
        <f t="shared" ref="W44:W62" si="29">SUM(K44:V44)</f>
        <v>-5000</v>
      </c>
      <c r="Y44" s="25">
        <f t="shared" si="2"/>
        <v>0</v>
      </c>
    </row>
    <row r="45" spans="1:25" x14ac:dyDescent="0.35">
      <c r="A45" t="s">
        <v>155</v>
      </c>
      <c r="B45" s="5" t="s">
        <v>202</v>
      </c>
      <c r="C45" s="24">
        <v>9824</v>
      </c>
      <c r="D45" s="24">
        <v>0</v>
      </c>
      <c r="E45" s="24">
        <v>0</v>
      </c>
      <c r="F45" s="23">
        <f t="shared" si="25"/>
        <v>9824</v>
      </c>
      <c r="K45" s="23">
        <f>'[1]Admin by Month'!J45+'[1]Membership by Month'!J45+'[1]Education by Month'!J45</f>
        <v>818.66666666666663</v>
      </c>
      <c r="L45" s="23">
        <f>'[1]Admin by Month'!K45+'[1]Membership by Month'!K45+'[1]Education by Month'!K45</f>
        <v>818.66666666666663</v>
      </c>
      <c r="M45" s="23">
        <f>'[1]Admin by Month'!L45+'[1]Membership by Month'!L45+'[1]Education by Month'!L45</f>
        <v>818.66666666666663</v>
      </c>
      <c r="N45" s="23">
        <f>'[1]Admin by Month'!M45+'[1]Membership by Month'!M45+'[1]Education by Month'!M45</f>
        <v>818.66666666666663</v>
      </c>
      <c r="O45" s="23">
        <f>'[1]Admin by Month'!N45+'[1]Membership by Month'!N45+'[1]Education by Month'!N45</f>
        <v>818.66666666666663</v>
      </c>
      <c r="P45" s="23">
        <f>'[1]Admin by Month'!O45+'[1]Membership by Month'!O45+'[1]Education by Month'!O45</f>
        <v>818.66666666666663</v>
      </c>
      <c r="Q45" s="23">
        <f>'[1]Admin by Month'!P45+'[1]Membership by Month'!P45+'[1]Education by Month'!P45</f>
        <v>818.66666666666663</v>
      </c>
      <c r="R45" s="23">
        <f>'[1]Admin by Month'!Q45+'[1]Membership by Month'!Q45+'[1]Education by Month'!Q45</f>
        <v>818.66666666666663</v>
      </c>
      <c r="S45" s="23">
        <f>'[1]Admin by Month'!R45+'[1]Membership by Month'!R45+'[1]Education by Month'!R45</f>
        <v>818.66666666666663</v>
      </c>
      <c r="T45" s="23">
        <f>'[1]Admin by Month'!S45+'[1]Membership by Month'!S45+'[1]Education by Month'!S45</f>
        <v>818.66666666666663</v>
      </c>
      <c r="U45" s="23">
        <f>'[1]Admin by Month'!T45+'[1]Membership by Month'!T45+'[1]Education by Month'!T45</f>
        <v>818.66666666666663</v>
      </c>
      <c r="V45" s="23">
        <f>'[1]Admin by Month'!U45+'[1]Membership by Month'!U45+'[1]Education by Month'!U45</f>
        <v>818.66666666666663</v>
      </c>
      <c r="W45" s="23">
        <f t="shared" si="29"/>
        <v>9824</v>
      </c>
      <c r="Y45" s="25">
        <f t="shared" si="2"/>
        <v>0</v>
      </c>
    </row>
    <row r="46" spans="1:25" x14ac:dyDescent="0.35">
      <c r="A46" t="s">
        <v>155</v>
      </c>
      <c r="B46" s="5" t="s">
        <v>203</v>
      </c>
      <c r="C46" s="24">
        <v>3203</v>
      </c>
      <c r="D46" s="24">
        <v>0</v>
      </c>
      <c r="E46" s="24">
        <v>0</v>
      </c>
      <c r="F46" s="23">
        <f t="shared" si="25"/>
        <v>3203</v>
      </c>
      <c r="K46" s="23">
        <f>'[1]Admin by Month'!J46+'[1]Membership by Month'!J46+'[1]Education by Month'!J46</f>
        <v>217</v>
      </c>
      <c r="L46" s="23">
        <f>'[1]Admin by Month'!K46+'[1]Membership by Month'!K46+'[1]Education by Month'!K46</f>
        <v>217</v>
      </c>
      <c r="M46" s="23">
        <f>'[1]Admin by Month'!L46+'[1]Membership by Month'!L46+'[1]Education by Month'!L46</f>
        <v>217</v>
      </c>
      <c r="N46" s="23">
        <f>'[1]Admin by Month'!M46+'[1]Membership by Month'!M46+'[1]Education by Month'!M46</f>
        <v>217</v>
      </c>
      <c r="O46" s="23">
        <f>'[1]Admin by Month'!N46+'[1]Membership by Month'!N46+'[1]Education by Month'!N46</f>
        <v>217</v>
      </c>
      <c r="P46" s="23">
        <f>'[1]Admin by Month'!O46+'[1]Membership by Month'!O46+'[1]Education by Month'!O46</f>
        <v>417</v>
      </c>
      <c r="Q46" s="23">
        <f>'[1]Admin by Month'!P46+'[1]Membership by Month'!P46+'[1]Education by Month'!P46</f>
        <v>217</v>
      </c>
      <c r="R46" s="23">
        <f>'[1]Admin by Month'!Q46+'[1]Membership by Month'!Q46+'[1]Education by Month'!Q46</f>
        <v>217</v>
      </c>
      <c r="S46" s="23">
        <f>'[1]Admin by Month'!R46+'[1]Membership by Month'!R46+'[1]Education by Month'!R46</f>
        <v>316</v>
      </c>
      <c r="T46" s="23">
        <f>'[1]Admin by Month'!S46+'[1]Membership by Month'!S46+'[1]Education by Month'!S46</f>
        <v>217</v>
      </c>
      <c r="U46" s="23">
        <f>'[1]Admin by Month'!T46+'[1]Membership by Month'!T46+'[1]Education by Month'!T46</f>
        <v>217</v>
      </c>
      <c r="V46" s="23">
        <f>'[1]Admin by Month'!U46+'[1]Membership by Month'!U46+'[1]Education by Month'!U46</f>
        <v>517</v>
      </c>
      <c r="W46" s="23">
        <f t="shared" si="29"/>
        <v>3203</v>
      </c>
      <c r="Y46" s="25">
        <f t="shared" si="2"/>
        <v>0</v>
      </c>
    </row>
    <row r="47" spans="1:25" x14ac:dyDescent="0.35">
      <c r="A47" t="s">
        <v>155</v>
      </c>
      <c r="B47" s="5" t="s">
        <v>204</v>
      </c>
      <c r="C47" s="24">
        <v>12575</v>
      </c>
      <c r="D47" s="24">
        <v>0</v>
      </c>
      <c r="E47" s="24">
        <v>0</v>
      </c>
      <c r="F47" s="23">
        <f t="shared" si="25"/>
        <v>12575</v>
      </c>
      <c r="K47" s="23">
        <f>'[1]Admin by Month'!J47+'[1]Membership by Month'!J47+'[1]Education by Month'!J47</f>
        <v>125</v>
      </c>
      <c r="L47" s="23">
        <f>'[1]Admin by Month'!K47+'[1]Membership by Month'!K47+'[1]Education by Month'!K47</f>
        <v>125</v>
      </c>
      <c r="M47" s="23">
        <f>'[1]Admin by Month'!L47+'[1]Membership by Month'!L47+'[1]Education by Month'!L47</f>
        <v>125</v>
      </c>
      <c r="N47" s="23">
        <f>'[1]Admin by Month'!M47+'[1]Membership by Month'!M47+'[1]Education by Month'!M47</f>
        <v>125</v>
      </c>
      <c r="O47" s="23">
        <f>'[1]Admin by Month'!N47+'[1]Membership by Month'!N47+'[1]Education by Month'!N47</f>
        <v>125</v>
      </c>
      <c r="P47" s="23">
        <f>'[1]Admin by Month'!O47+'[1]Membership by Month'!O47+'[1]Education by Month'!O47</f>
        <v>125</v>
      </c>
      <c r="Q47" s="23">
        <f>'[1]Admin by Month'!P47+'[1]Membership by Month'!P47+'[1]Education by Month'!P47</f>
        <v>2925</v>
      </c>
      <c r="R47" s="23">
        <f>'[1]Admin by Month'!Q47+'[1]Membership by Month'!Q47+'[1]Education by Month'!Q47</f>
        <v>125</v>
      </c>
      <c r="S47" s="23">
        <f>'[1]Admin by Month'!R47+'[1]Membership by Month'!R47+'[1]Education by Month'!R47</f>
        <v>3425</v>
      </c>
      <c r="T47" s="23">
        <f>'[1]Admin by Month'!S47+'[1]Membership by Month'!S47+'[1]Education by Month'!S47</f>
        <v>5100</v>
      </c>
      <c r="U47" s="23">
        <f>'[1]Admin by Month'!T47+'[1]Membership by Month'!T47+'[1]Education by Month'!T47</f>
        <v>125</v>
      </c>
      <c r="V47" s="23">
        <f>'[1]Admin by Month'!U47+'[1]Membership by Month'!U47+'[1]Education by Month'!U47</f>
        <v>125</v>
      </c>
      <c r="W47" s="23">
        <f t="shared" si="29"/>
        <v>12575</v>
      </c>
      <c r="Y47" s="25">
        <f t="shared" si="2"/>
        <v>0</v>
      </c>
    </row>
    <row r="48" spans="1:25" x14ac:dyDescent="0.35">
      <c r="A48" t="s">
        <v>155</v>
      </c>
      <c r="B48" s="5" t="s">
        <v>205</v>
      </c>
      <c r="C48" s="24">
        <v>3675</v>
      </c>
      <c r="D48" s="24">
        <v>0</v>
      </c>
      <c r="E48" s="24">
        <v>0</v>
      </c>
      <c r="F48" s="23">
        <f t="shared" si="25"/>
        <v>3675</v>
      </c>
      <c r="K48" s="23">
        <f>'[1]Admin by Month'!J48+'[1]Membership by Month'!J48+'[1]Education by Month'!J48</f>
        <v>1400</v>
      </c>
      <c r="L48" s="23">
        <f>'[1]Admin by Month'!K48+'[1]Membership by Month'!K48+'[1]Education by Month'!K48</f>
        <v>0</v>
      </c>
      <c r="M48" s="23">
        <f>'[1]Admin by Month'!L48+'[1]Membership by Month'!L48+'[1]Education by Month'!L48</f>
        <v>0</v>
      </c>
      <c r="N48" s="23">
        <f>'[1]Admin by Month'!M48+'[1]Membership by Month'!M48+'[1]Education by Month'!M48</f>
        <v>0</v>
      </c>
      <c r="O48" s="23">
        <f>'[1]Admin by Month'!N48+'[1]Membership by Month'!N48+'[1]Education by Month'!N48</f>
        <v>0</v>
      </c>
      <c r="P48" s="23">
        <f>'[1]Admin by Month'!O48+'[1]Membership by Month'!O48+'[1]Education by Month'!O48</f>
        <v>0</v>
      </c>
      <c r="Q48" s="23">
        <f>'[1]Admin by Month'!P48+'[1]Membership by Month'!P48+'[1]Education by Month'!P48</f>
        <v>1525</v>
      </c>
      <c r="R48" s="23">
        <f>'[1]Admin by Month'!Q48+'[1]Membership by Month'!Q48+'[1]Education by Month'!Q48</f>
        <v>0</v>
      </c>
      <c r="S48" s="23">
        <f>'[1]Admin by Month'!R48+'[1]Membership by Month'!R48+'[1]Education by Month'!R48</f>
        <v>0</v>
      </c>
      <c r="T48" s="23">
        <f>'[1]Admin by Month'!S48+'[1]Membership by Month'!S48+'[1]Education by Month'!S48</f>
        <v>750</v>
      </c>
      <c r="U48" s="23">
        <f>'[1]Admin by Month'!T48+'[1]Membership by Month'!T48+'[1]Education by Month'!T48</f>
        <v>0</v>
      </c>
      <c r="V48" s="23">
        <f>'[1]Admin by Month'!U48+'[1]Membership by Month'!U48+'[1]Education by Month'!U48</f>
        <v>0</v>
      </c>
      <c r="W48" s="23">
        <f t="shared" si="29"/>
        <v>3675</v>
      </c>
      <c r="Y48" s="25">
        <f t="shared" si="2"/>
        <v>0</v>
      </c>
    </row>
    <row r="49" spans="1:25" x14ac:dyDescent="0.35">
      <c r="A49" t="s">
        <v>155</v>
      </c>
      <c r="B49" s="5" t="s">
        <v>196</v>
      </c>
      <c r="C49" s="24">
        <v>47501</v>
      </c>
      <c r="D49" s="24"/>
      <c r="E49" s="24">
        <v>0</v>
      </c>
      <c r="F49" s="23">
        <f t="shared" si="25"/>
        <v>47501</v>
      </c>
      <c r="K49" s="23">
        <f>'[1]Admin by Month'!J66+'[1]Membership by Month'!J49+'[1]Education by Month'!J49</f>
        <v>3821</v>
      </c>
      <c r="L49" s="23">
        <f>'[1]Admin by Month'!K66+'[1]Membership by Month'!K49+'[1]Education by Month'!K49</f>
        <v>3821</v>
      </c>
      <c r="M49" s="23">
        <f>'[1]Admin by Month'!L66+'[1]Membership by Month'!L49+'[1]Education by Month'!L49</f>
        <v>3985.88</v>
      </c>
      <c r="N49" s="23">
        <f>'[1]Admin by Month'!M66+'[1]Membership by Month'!M49+'[1]Education by Month'!M49</f>
        <v>3985.88</v>
      </c>
      <c r="O49" s="23">
        <f>'[1]Admin by Month'!N66+'[1]Membership by Month'!N49+'[1]Education by Month'!N49</f>
        <v>3985.88</v>
      </c>
      <c r="P49" s="23">
        <f>'[1]Admin by Month'!O66+'[1]Membership by Month'!O49+'[1]Education by Month'!O49</f>
        <v>3985.88</v>
      </c>
      <c r="Q49" s="23">
        <f>'[1]Admin by Month'!P66+'[1]Membership by Month'!P49+'[1]Education by Month'!P49</f>
        <v>3985.88</v>
      </c>
      <c r="R49" s="23">
        <f>'[1]Admin by Month'!Q66+'[1]Membership by Month'!Q49+'[1]Education by Month'!Q49</f>
        <v>3985.88</v>
      </c>
      <c r="S49" s="23">
        <f>'[1]Admin by Month'!R66+'[1]Membership by Month'!R49+'[1]Education by Month'!R49</f>
        <v>3985.88</v>
      </c>
      <c r="T49" s="23">
        <f>'[1]Admin by Month'!S66+'[1]Membership by Month'!S49+'[1]Education by Month'!S49</f>
        <v>3985.88</v>
      </c>
      <c r="U49" s="23">
        <f>'[1]Admin by Month'!T66+'[1]Membership by Month'!T49+'[1]Education by Month'!T49</f>
        <v>3985.88</v>
      </c>
      <c r="V49" s="23">
        <f>'[1]Admin by Month'!U66+'[1]Membership by Month'!U49+'[1]Education by Month'!U49</f>
        <v>3986.08</v>
      </c>
      <c r="W49" s="23">
        <f t="shared" si="29"/>
        <v>47501</v>
      </c>
      <c r="Y49" s="25">
        <f t="shared" si="2"/>
        <v>0</v>
      </c>
    </row>
    <row r="50" spans="1:25" x14ac:dyDescent="0.35">
      <c r="A50" t="s">
        <v>155</v>
      </c>
      <c r="B50" s="5" t="s">
        <v>206</v>
      </c>
      <c r="C50" s="24">
        <v>600</v>
      </c>
      <c r="D50" s="24">
        <v>0</v>
      </c>
      <c r="E50" s="24">
        <v>0</v>
      </c>
      <c r="F50" s="23">
        <f t="shared" si="25"/>
        <v>600</v>
      </c>
      <c r="K50" s="23">
        <f>'[1]Admin by Month'!J49+'[1]Membership by Month'!J50+'[1]Education by Month'!J50</f>
        <v>50</v>
      </c>
      <c r="L50" s="23">
        <f>'[1]Admin by Month'!K49+'[1]Membership by Month'!K50+'[1]Education by Month'!K50</f>
        <v>50</v>
      </c>
      <c r="M50" s="23">
        <f>'[1]Admin by Month'!L49+'[1]Membership by Month'!L50+'[1]Education by Month'!L50</f>
        <v>50</v>
      </c>
      <c r="N50" s="23">
        <f>'[1]Admin by Month'!M49+'[1]Membership by Month'!M50+'[1]Education by Month'!M50</f>
        <v>50</v>
      </c>
      <c r="O50" s="23">
        <f>'[1]Admin by Month'!N49+'[1]Membership by Month'!N50+'[1]Education by Month'!N50</f>
        <v>50</v>
      </c>
      <c r="P50" s="23">
        <f>'[1]Admin by Month'!O49+'[1]Membership by Month'!O50+'[1]Education by Month'!O50</f>
        <v>50</v>
      </c>
      <c r="Q50" s="23">
        <f>'[1]Admin by Month'!P49+'[1]Membership by Month'!P50+'[1]Education by Month'!P50</f>
        <v>50</v>
      </c>
      <c r="R50" s="23">
        <f>'[1]Admin by Month'!Q49+'[1]Membership by Month'!Q50+'[1]Education by Month'!Q50</f>
        <v>50</v>
      </c>
      <c r="S50" s="23">
        <f>'[1]Admin by Month'!R49+'[1]Membership by Month'!R50+'[1]Education by Month'!R50</f>
        <v>50</v>
      </c>
      <c r="T50" s="23">
        <f>'[1]Admin by Month'!S49+'[1]Membership by Month'!S50+'[1]Education by Month'!S50</f>
        <v>50</v>
      </c>
      <c r="U50" s="23">
        <f>'[1]Admin by Month'!T49+'[1]Membership by Month'!T50+'[1]Education by Month'!T50</f>
        <v>50</v>
      </c>
      <c r="V50" s="23">
        <f>'[1]Admin by Month'!U49+'[1]Membership by Month'!U50+'[1]Education by Month'!U50</f>
        <v>50</v>
      </c>
      <c r="W50" s="23">
        <f t="shared" si="29"/>
        <v>600</v>
      </c>
      <c r="Y50" s="25">
        <f t="shared" si="2"/>
        <v>0</v>
      </c>
    </row>
    <row r="51" spans="1:25" x14ac:dyDescent="0.35">
      <c r="A51" t="s">
        <v>155</v>
      </c>
      <c r="B51" s="5" t="s">
        <v>253</v>
      </c>
      <c r="C51" s="22"/>
      <c r="D51" s="22"/>
      <c r="E51" s="22"/>
      <c r="F51" s="23">
        <f t="shared" si="25"/>
        <v>0</v>
      </c>
      <c r="K51" s="23">
        <f>'[1]Admin by Month'!J50+'[1]Membership by Month'!J51+'[1]Education by Month'!J51</f>
        <v>0</v>
      </c>
      <c r="L51" s="23">
        <f>'[1]Admin by Month'!K50+'[1]Membership by Month'!K51+'[1]Education by Month'!K51</f>
        <v>0</v>
      </c>
      <c r="M51" s="23">
        <f>'[1]Admin by Month'!L50+'[1]Membership by Month'!L51+'[1]Education by Month'!L51</f>
        <v>0</v>
      </c>
      <c r="N51" s="23">
        <f>'[1]Admin by Month'!M50+'[1]Membership by Month'!M51+'[1]Education by Month'!M51</f>
        <v>0</v>
      </c>
      <c r="O51" s="23">
        <f>'[1]Admin by Month'!N50+'[1]Membership by Month'!N51+'[1]Education by Month'!N51</f>
        <v>0</v>
      </c>
      <c r="P51" s="23">
        <f>'[1]Admin by Month'!O50+'[1]Membership by Month'!O51+'[1]Education by Month'!O51</f>
        <v>0</v>
      </c>
      <c r="Q51" s="23">
        <f>'[1]Admin by Month'!P50+'[1]Membership by Month'!P51+'[1]Education by Month'!P51</f>
        <v>0</v>
      </c>
      <c r="R51" s="23">
        <f>'[1]Admin by Month'!Q50+'[1]Membership by Month'!Q51+'[1]Education by Month'!Q51</f>
        <v>0</v>
      </c>
      <c r="S51" s="23">
        <f>'[1]Admin by Month'!R50+'[1]Membership by Month'!R51+'[1]Education by Month'!R51</f>
        <v>0</v>
      </c>
      <c r="T51" s="23">
        <f>'[1]Admin by Month'!S50+'[1]Membership by Month'!S51+'[1]Education by Month'!S51</f>
        <v>0</v>
      </c>
      <c r="U51" s="23">
        <f>'[1]Admin by Month'!T50+'[1]Membership by Month'!T51+'[1]Education by Month'!T51</f>
        <v>0</v>
      </c>
      <c r="V51" s="23">
        <f>'[1]Admin by Month'!U50+'[1]Membership by Month'!U51+'[1]Education by Month'!U51</f>
        <v>0</v>
      </c>
      <c r="W51" s="23">
        <f t="shared" si="29"/>
        <v>0</v>
      </c>
      <c r="Y51" s="25">
        <f t="shared" si="2"/>
        <v>0</v>
      </c>
    </row>
    <row r="52" spans="1:25" x14ac:dyDescent="0.35">
      <c r="A52" t="s">
        <v>155</v>
      </c>
      <c r="B52" s="5" t="s">
        <v>207</v>
      </c>
      <c r="C52" s="24">
        <v>2000</v>
      </c>
      <c r="D52" s="24">
        <v>0</v>
      </c>
      <c r="E52" s="24">
        <v>0</v>
      </c>
      <c r="F52" s="23">
        <f t="shared" si="25"/>
        <v>2000</v>
      </c>
      <c r="K52" s="23">
        <f>'[1]Admin by Month'!J51+'[1]Membership by Month'!J52+'[1]Education by Month'!J52</f>
        <v>166.66666666666666</v>
      </c>
      <c r="L52" s="23">
        <f>'[1]Admin by Month'!K51+'[1]Membership by Month'!K52+'[1]Education by Month'!K52</f>
        <v>166.66666666666666</v>
      </c>
      <c r="M52" s="23">
        <f>'[1]Admin by Month'!L51+'[1]Membership by Month'!L52+'[1]Education by Month'!L52</f>
        <v>166.66666666666666</v>
      </c>
      <c r="N52" s="23">
        <f>'[1]Admin by Month'!M51+'[1]Membership by Month'!M52+'[1]Education by Month'!M52</f>
        <v>166.66666666666666</v>
      </c>
      <c r="O52" s="23">
        <f>'[1]Admin by Month'!N51+'[1]Membership by Month'!N52+'[1]Education by Month'!N52</f>
        <v>166.66666666666666</v>
      </c>
      <c r="P52" s="23">
        <f>'[1]Admin by Month'!O51+'[1]Membership by Month'!O52+'[1]Education by Month'!O52</f>
        <v>166.66666666666666</v>
      </c>
      <c r="Q52" s="23">
        <f>'[1]Admin by Month'!P51+'[1]Membership by Month'!P52+'[1]Education by Month'!P52</f>
        <v>166.66666666666666</v>
      </c>
      <c r="R52" s="23">
        <f>'[1]Admin by Month'!Q51+'[1]Membership by Month'!Q52+'[1]Education by Month'!Q52</f>
        <v>166.66666666666666</v>
      </c>
      <c r="S52" s="23">
        <f>'[1]Admin by Month'!R51+'[1]Membership by Month'!R52+'[1]Education by Month'!R52</f>
        <v>166.66666666666666</v>
      </c>
      <c r="T52" s="23">
        <f>'[1]Admin by Month'!S51+'[1]Membership by Month'!S52+'[1]Education by Month'!S52</f>
        <v>166.66666666666666</v>
      </c>
      <c r="U52" s="23">
        <f>'[1]Admin by Month'!T51+'[1]Membership by Month'!T52+'[1]Education by Month'!T52</f>
        <v>166.66666666666666</v>
      </c>
      <c r="V52" s="23">
        <f>'[1]Admin by Month'!U51+'[1]Membership by Month'!U52+'[1]Education by Month'!U52</f>
        <v>166.66666666666666</v>
      </c>
      <c r="W52" s="23">
        <f t="shared" si="29"/>
        <v>2000.0000000000002</v>
      </c>
      <c r="Y52" s="25">
        <f t="shared" si="2"/>
        <v>0</v>
      </c>
    </row>
    <row r="53" spans="1:25" x14ac:dyDescent="0.35">
      <c r="A53" t="s">
        <v>155</v>
      </c>
      <c r="B53" s="5" t="s">
        <v>208</v>
      </c>
      <c r="C53" s="24">
        <v>9788</v>
      </c>
      <c r="D53" s="24">
        <v>100</v>
      </c>
      <c r="E53" s="24">
        <v>0</v>
      </c>
      <c r="F53" s="23">
        <f t="shared" si="25"/>
        <v>9888</v>
      </c>
      <c r="K53" s="23">
        <f>'[1]Admin by Month'!J52+'[1]Membership by Month'!J53+'[1]Education by Month'!J53</f>
        <v>124.99</v>
      </c>
      <c r="L53" s="23">
        <f>'[1]Admin by Month'!K52+'[1]Membership by Month'!K53+'[1]Education by Month'!K53</f>
        <v>224.99</v>
      </c>
      <c r="M53" s="23">
        <f>'[1]Admin by Month'!L52+'[1]Membership by Month'!L53+'[1]Education by Month'!L53</f>
        <v>124.99</v>
      </c>
      <c r="N53" s="23">
        <f>'[1]Admin by Month'!M52+'[1]Membership by Month'!M53+'[1]Education by Month'!M53</f>
        <v>124.99</v>
      </c>
      <c r="O53" s="23">
        <f>'[1]Admin by Month'!N52+'[1]Membership by Month'!N53+'[1]Education by Month'!N53</f>
        <v>124.99</v>
      </c>
      <c r="P53" s="23">
        <f>'[1]Admin by Month'!O52+'[1]Membership by Month'!O53+'[1]Education by Month'!O53</f>
        <v>124.99</v>
      </c>
      <c r="Q53" s="23">
        <f>'[1]Admin by Month'!P52+'[1]Membership by Month'!P53+'[1]Education by Month'!P53</f>
        <v>124.99</v>
      </c>
      <c r="R53" s="23">
        <f>'[1]Admin by Month'!Q52+'[1]Membership by Month'!Q53+'[1]Education by Month'!Q53</f>
        <v>6224.99</v>
      </c>
      <c r="S53" s="23">
        <f>'[1]Admin by Month'!R52+'[1]Membership by Month'!R53+'[1]Education by Month'!R53</f>
        <v>124.99</v>
      </c>
      <c r="T53" s="23">
        <f>'[1]Admin by Month'!S52+'[1]Membership by Month'!S53+'[1]Education by Month'!S53</f>
        <v>2312.9899999999998</v>
      </c>
      <c r="U53" s="23">
        <f>'[1]Admin by Month'!T52+'[1]Membership by Month'!T53+'[1]Education by Month'!T53</f>
        <v>124.99</v>
      </c>
      <c r="V53" s="23">
        <f>'[1]Admin by Month'!U52+'[1]Membership by Month'!U53+'[1]Education by Month'!U53</f>
        <v>125.11</v>
      </c>
      <c r="W53" s="23">
        <f t="shared" si="29"/>
        <v>9888</v>
      </c>
      <c r="Y53" s="25">
        <f t="shared" si="2"/>
        <v>0</v>
      </c>
    </row>
    <row r="54" spans="1:25" x14ac:dyDescent="0.35">
      <c r="A54" t="s">
        <v>155</v>
      </c>
      <c r="B54" s="5" t="s">
        <v>209</v>
      </c>
      <c r="C54" s="24">
        <v>2000</v>
      </c>
      <c r="D54" s="24">
        <v>0</v>
      </c>
      <c r="E54" s="24">
        <v>0</v>
      </c>
      <c r="F54" s="23">
        <f t="shared" si="25"/>
        <v>2000</v>
      </c>
      <c r="K54" s="23">
        <f>'[1]Admin by Month'!J53+'[1]Membership by Month'!J54+'[1]Education by Month'!J54</f>
        <v>0</v>
      </c>
      <c r="L54" s="23">
        <f>'[1]Admin by Month'!K53+'[1]Membership by Month'!K54+'[1]Education by Month'!K54</f>
        <v>0</v>
      </c>
      <c r="M54" s="23">
        <f>'[1]Admin by Month'!L53+'[1]Membership by Month'!L54+'[1]Education by Month'!L54</f>
        <v>0</v>
      </c>
      <c r="N54" s="23">
        <f>'[1]Admin by Month'!M53+'[1]Membership by Month'!M54+'[1]Education by Month'!M54</f>
        <v>0</v>
      </c>
      <c r="O54" s="23">
        <f>'[1]Admin by Month'!N53+'[1]Membership by Month'!N54+'[1]Education by Month'!N54</f>
        <v>0</v>
      </c>
      <c r="P54" s="23">
        <f>'[1]Admin by Month'!O53+'[1]Membership by Month'!O54+'[1]Education by Month'!O54</f>
        <v>0</v>
      </c>
      <c r="Q54" s="23">
        <f>'[1]Admin by Month'!P53+'[1]Membership by Month'!P54+'[1]Education by Month'!P54</f>
        <v>0</v>
      </c>
      <c r="R54" s="23">
        <f>'[1]Admin by Month'!Q53+'[1]Membership by Month'!Q54+'[1]Education by Month'!Q54</f>
        <v>2000</v>
      </c>
      <c r="S54" s="23">
        <f>'[1]Admin by Month'!R53+'[1]Membership by Month'!R54+'[1]Education by Month'!R54</f>
        <v>0</v>
      </c>
      <c r="T54" s="23">
        <f>'[1]Admin by Month'!S53+'[1]Membership by Month'!S54+'[1]Education by Month'!S54</f>
        <v>0</v>
      </c>
      <c r="U54" s="23">
        <f>'[1]Admin by Month'!T53+'[1]Membership by Month'!T54+'[1]Education by Month'!T54</f>
        <v>0</v>
      </c>
      <c r="V54" s="23">
        <f>'[1]Admin by Month'!U53+'[1]Membership by Month'!U54+'[1]Education by Month'!U54</f>
        <v>0</v>
      </c>
      <c r="W54" s="23">
        <f t="shared" si="29"/>
        <v>2000</v>
      </c>
      <c r="Y54" s="25">
        <f t="shared" si="2"/>
        <v>0</v>
      </c>
    </row>
    <row r="55" spans="1:25" x14ac:dyDescent="0.35">
      <c r="A55" t="s">
        <v>155</v>
      </c>
      <c r="B55" s="5" t="s">
        <v>210</v>
      </c>
      <c r="C55" s="24">
        <v>16339</v>
      </c>
      <c r="D55" s="24">
        <v>0</v>
      </c>
      <c r="E55" s="24">
        <v>0</v>
      </c>
      <c r="F55" s="23">
        <f t="shared" si="25"/>
        <v>16339</v>
      </c>
      <c r="K55" s="23">
        <f>'[1]Admin by Month'!J54+'[1]Membership by Month'!J55+'[1]Education by Month'!J55</f>
        <v>1344.8</v>
      </c>
      <c r="L55" s="23">
        <f>'[1]Admin by Month'!K54+'[1]Membership by Month'!K55+'[1]Education by Month'!K55</f>
        <v>1344.8</v>
      </c>
      <c r="M55" s="23">
        <f>'[1]Admin by Month'!L54+'[1]Membership by Month'!L55+'[1]Education by Month'!L55</f>
        <v>1344.8</v>
      </c>
      <c r="N55" s="23">
        <f>'[1]Admin by Month'!M54+'[1]Membership by Month'!M55+'[1]Education by Month'!M55</f>
        <v>1344.8</v>
      </c>
      <c r="O55" s="23">
        <f>'[1]Admin by Month'!N54+'[1]Membership by Month'!N55+'[1]Education by Month'!N55</f>
        <v>1344.8</v>
      </c>
      <c r="P55" s="23">
        <f>'[1]Admin by Month'!O54+'[1]Membership by Month'!O55+'[1]Education by Month'!O55</f>
        <v>1344.8</v>
      </c>
      <c r="Q55" s="23">
        <f>'[1]Admin by Month'!P54+'[1]Membership by Month'!P55+'[1]Education by Month'!P55</f>
        <v>1378.42</v>
      </c>
      <c r="R55" s="23">
        <f>'[1]Admin by Month'!Q54+'[1]Membership by Month'!Q55+'[1]Education by Month'!Q55</f>
        <v>1378.42</v>
      </c>
      <c r="S55" s="23">
        <f>'[1]Admin by Month'!R54+'[1]Membership by Month'!R55+'[1]Education by Month'!R55</f>
        <v>1378.42</v>
      </c>
      <c r="T55" s="23">
        <f>'[1]Admin by Month'!S54+'[1]Membership by Month'!S55+'[1]Education by Month'!S55</f>
        <v>1378.42</v>
      </c>
      <c r="U55" s="23">
        <f>'[1]Admin by Month'!T54+'[1]Membership by Month'!T55+'[1]Education by Month'!T55</f>
        <v>1378.42</v>
      </c>
      <c r="V55" s="23">
        <f>'[1]Admin by Month'!U54+'[1]Membership by Month'!U55+'[1]Education by Month'!U55</f>
        <v>1378.1000000000001</v>
      </c>
      <c r="W55" s="23">
        <f t="shared" si="29"/>
        <v>16339.000000000002</v>
      </c>
      <c r="Y55" s="25">
        <f t="shared" si="2"/>
        <v>0</v>
      </c>
    </row>
    <row r="56" spans="1:25" x14ac:dyDescent="0.35">
      <c r="A56" t="s">
        <v>155</v>
      </c>
      <c r="B56" s="5" t="s">
        <v>211</v>
      </c>
      <c r="C56" s="24">
        <v>1015</v>
      </c>
      <c r="D56" s="24">
        <v>0</v>
      </c>
      <c r="E56" s="24">
        <v>0</v>
      </c>
      <c r="F56" s="23">
        <f t="shared" si="25"/>
        <v>1015</v>
      </c>
      <c r="K56" s="23">
        <f>'[1]Admin by Month'!J55+'[1]Membership by Month'!J56+'[1]Education by Month'!J56</f>
        <v>34.58</v>
      </c>
      <c r="L56" s="23">
        <f>'[1]Admin by Month'!K55+'[1]Membership by Month'!K56+'[1]Education by Month'!K56</f>
        <v>634.58000000000004</v>
      </c>
      <c r="M56" s="23">
        <f>'[1]Admin by Month'!L55+'[1]Membership by Month'!L56+'[1]Education by Month'!L56</f>
        <v>34.58</v>
      </c>
      <c r="N56" s="23">
        <f>'[1]Admin by Month'!M55+'[1]Membership by Month'!M56+'[1]Education by Month'!M56</f>
        <v>34.58</v>
      </c>
      <c r="O56" s="23">
        <f>'[1]Admin by Month'!N55+'[1]Membership by Month'!N56+'[1]Education by Month'!N56</f>
        <v>34.58</v>
      </c>
      <c r="P56" s="23">
        <f>'[1]Admin by Month'!O55+'[1]Membership by Month'!O56+'[1]Education by Month'!O56</f>
        <v>34.58</v>
      </c>
      <c r="Q56" s="23">
        <f>'[1]Admin by Month'!P55+'[1]Membership by Month'!P56+'[1]Education by Month'!P56</f>
        <v>34.58</v>
      </c>
      <c r="R56" s="23">
        <f>'[1]Admin by Month'!Q55+'[1]Membership by Month'!Q56+'[1]Education by Month'!Q56</f>
        <v>34.58</v>
      </c>
      <c r="S56" s="23">
        <f>'[1]Admin by Month'!R55+'[1]Membership by Month'!R56+'[1]Education by Month'!R56</f>
        <v>34.58</v>
      </c>
      <c r="T56" s="23">
        <f>'[1]Admin by Month'!S55+'[1]Membership by Month'!S56+'[1]Education by Month'!S56</f>
        <v>34.58</v>
      </c>
      <c r="U56" s="23">
        <f>'[1]Admin by Month'!T55+'[1]Membership by Month'!T56+'[1]Education by Month'!T56</f>
        <v>34.58</v>
      </c>
      <c r="V56" s="23">
        <f>'[1]Admin by Month'!U55+'[1]Membership by Month'!U56+'[1]Education by Month'!U56</f>
        <v>34.619999999999997</v>
      </c>
      <c r="W56" s="23">
        <f t="shared" si="29"/>
        <v>1015.0000000000005</v>
      </c>
      <c r="Y56" s="25">
        <f t="shared" si="2"/>
        <v>0</v>
      </c>
    </row>
    <row r="57" spans="1:25" x14ac:dyDescent="0.35">
      <c r="A57" t="s">
        <v>155</v>
      </c>
      <c r="B57" s="5" t="s">
        <v>212</v>
      </c>
      <c r="C57" s="24">
        <v>4305</v>
      </c>
      <c r="D57" s="24">
        <v>2000</v>
      </c>
      <c r="E57" s="24">
        <v>0</v>
      </c>
      <c r="F57" s="23">
        <f t="shared" si="25"/>
        <v>6305</v>
      </c>
      <c r="K57" s="23">
        <f>'[1]Admin by Month'!J56+'[1]Membership by Month'!J57+'[1]Education by Month'!J57</f>
        <v>333.33</v>
      </c>
      <c r="L57" s="23">
        <f>'[1]Admin by Month'!K56+'[1]Membership by Month'!K57+'[1]Education by Month'!K57</f>
        <v>371.65</v>
      </c>
      <c r="M57" s="23">
        <f>'[1]Admin by Month'!L56+'[1]Membership by Month'!L57+'[1]Education by Month'!L57</f>
        <v>333.33</v>
      </c>
      <c r="N57" s="23">
        <f>'[1]Admin by Month'!M56+'[1]Membership by Month'!M57+'[1]Education by Month'!M57</f>
        <v>371.65</v>
      </c>
      <c r="O57" s="23">
        <f>'[1]Admin by Month'!N56+'[1]Membership by Month'!N57+'[1]Education by Month'!N57</f>
        <v>333.33</v>
      </c>
      <c r="P57" s="23">
        <f>'[1]Admin by Month'!O56+'[1]Membership by Month'!O57+'[1]Education by Month'!O57</f>
        <v>371.65</v>
      </c>
      <c r="Q57" s="23">
        <f>'[1]Admin by Month'!P56+'[1]Membership by Month'!P57+'[1]Education by Month'!P57</f>
        <v>333.33</v>
      </c>
      <c r="R57" s="23">
        <f>'[1]Admin by Month'!Q56+'[1]Membership by Month'!Q57+'[1]Education by Month'!Q57</f>
        <v>371.65</v>
      </c>
      <c r="S57" s="23">
        <f>'[1]Admin by Month'!R56+'[1]Membership by Month'!R57+'[1]Education by Month'!R57</f>
        <v>408.33</v>
      </c>
      <c r="T57" s="23">
        <f>'[1]Admin by Month'!S56+'[1]Membership by Month'!S57+'[1]Education by Month'!S57</f>
        <v>2371.65</v>
      </c>
      <c r="U57" s="23">
        <f>'[1]Admin by Month'!T56+'[1]Membership by Month'!T57+'[1]Education by Month'!T57</f>
        <v>333.33</v>
      </c>
      <c r="V57" s="23">
        <f>'[1]Admin by Month'!U56+'[1]Membership by Month'!U57+'[1]Education by Month'!U57</f>
        <v>371.77</v>
      </c>
      <c r="W57" s="23">
        <f t="shared" si="29"/>
        <v>6305</v>
      </c>
      <c r="Y57" s="25">
        <f t="shared" si="2"/>
        <v>0</v>
      </c>
    </row>
    <row r="58" spans="1:25" x14ac:dyDescent="0.35">
      <c r="A58" t="s">
        <v>155</v>
      </c>
      <c r="B58" s="5" t="s">
        <v>213</v>
      </c>
      <c r="C58" s="24">
        <v>144</v>
      </c>
      <c r="D58" s="24">
        <v>250</v>
      </c>
      <c r="E58" s="24">
        <v>0</v>
      </c>
      <c r="F58" s="23">
        <f t="shared" si="25"/>
        <v>394</v>
      </c>
      <c r="K58" s="23">
        <f>'[1]Admin by Month'!J57+'[1]Membership by Month'!J58+'[1]Education by Month'!J58</f>
        <v>262</v>
      </c>
      <c r="L58" s="23">
        <f>'[1]Admin by Month'!K57+'[1]Membership by Month'!K58+'[1]Education by Month'!K58</f>
        <v>12</v>
      </c>
      <c r="M58" s="23">
        <f>'[1]Admin by Month'!L57+'[1]Membership by Month'!L58+'[1]Education by Month'!L58</f>
        <v>12</v>
      </c>
      <c r="N58" s="23">
        <f>'[1]Admin by Month'!M57+'[1]Membership by Month'!M58+'[1]Education by Month'!M58</f>
        <v>12</v>
      </c>
      <c r="O58" s="23">
        <f>'[1]Admin by Month'!N57+'[1]Membership by Month'!N58+'[1]Education by Month'!N58</f>
        <v>12</v>
      </c>
      <c r="P58" s="23">
        <f>'[1]Admin by Month'!O57+'[1]Membership by Month'!O58+'[1]Education by Month'!O58</f>
        <v>12</v>
      </c>
      <c r="Q58" s="23">
        <f>'[1]Admin by Month'!P57+'[1]Membership by Month'!P58+'[1]Education by Month'!P58</f>
        <v>12</v>
      </c>
      <c r="R58" s="23">
        <f>'[1]Admin by Month'!Q57+'[1]Membership by Month'!Q58+'[1]Education by Month'!Q58</f>
        <v>12</v>
      </c>
      <c r="S58" s="23">
        <f>'[1]Admin by Month'!R57+'[1]Membership by Month'!R58+'[1]Education by Month'!R58</f>
        <v>12</v>
      </c>
      <c r="T58" s="23">
        <f>'[1]Admin by Month'!S57+'[1]Membership by Month'!S58+'[1]Education by Month'!S58</f>
        <v>12</v>
      </c>
      <c r="U58" s="23">
        <f>'[1]Admin by Month'!T57+'[1]Membership by Month'!T58+'[1]Education by Month'!T58</f>
        <v>12</v>
      </c>
      <c r="V58" s="23">
        <f>'[1]Admin by Month'!U57+'[1]Membership by Month'!U58+'[1]Education by Month'!U58</f>
        <v>12</v>
      </c>
      <c r="W58" s="23">
        <f t="shared" si="29"/>
        <v>394</v>
      </c>
      <c r="Y58" s="25">
        <f t="shared" si="2"/>
        <v>0</v>
      </c>
    </row>
    <row r="59" spans="1:25" x14ac:dyDescent="0.35">
      <c r="A59" t="s">
        <v>155</v>
      </c>
      <c r="B59" s="5" t="s">
        <v>214</v>
      </c>
      <c r="C59" s="24">
        <v>0</v>
      </c>
      <c r="D59" s="24">
        <v>275</v>
      </c>
      <c r="E59" s="24">
        <v>0</v>
      </c>
      <c r="F59" s="23">
        <f t="shared" si="25"/>
        <v>275</v>
      </c>
      <c r="K59" s="23">
        <f>'[1]Admin by Month'!J58+'[1]Membership by Month'!J59+'[1]Education by Month'!J59</f>
        <v>275</v>
      </c>
      <c r="L59" s="23">
        <f>'[1]Admin by Month'!K58+'[1]Membership by Month'!K59+'[1]Education by Month'!K59</f>
        <v>0</v>
      </c>
      <c r="M59" s="23">
        <f>'[1]Admin by Month'!L58+'[1]Membership by Month'!L59+'[1]Education by Month'!L59</f>
        <v>0</v>
      </c>
      <c r="N59" s="23">
        <f>'[1]Admin by Month'!M58+'[1]Membership by Month'!M59+'[1]Education by Month'!M59</f>
        <v>0</v>
      </c>
      <c r="O59" s="23">
        <f>'[1]Admin by Month'!N58+'[1]Membership by Month'!N59+'[1]Education by Month'!N59</f>
        <v>0</v>
      </c>
      <c r="P59" s="23">
        <f>'[1]Admin by Month'!O58+'[1]Membership by Month'!O59+'[1]Education by Month'!O59</f>
        <v>0</v>
      </c>
      <c r="Q59" s="23">
        <f>'[1]Admin by Month'!P58+'[1]Membership by Month'!P59+'[1]Education by Month'!P59</f>
        <v>0</v>
      </c>
      <c r="R59" s="23">
        <f>'[1]Admin by Month'!Q58+'[1]Membership by Month'!Q59+'[1]Education by Month'!Q59</f>
        <v>0</v>
      </c>
      <c r="S59" s="23">
        <f>'[1]Admin by Month'!R58+'[1]Membership by Month'!R59+'[1]Education by Month'!R59</f>
        <v>0</v>
      </c>
      <c r="T59" s="23">
        <f>'[1]Admin by Month'!S58+'[1]Membership by Month'!S59+'[1]Education by Month'!S59</f>
        <v>0</v>
      </c>
      <c r="U59" s="23">
        <f>'[1]Admin by Month'!T58+'[1]Membership by Month'!T59+'[1]Education by Month'!T59</f>
        <v>0</v>
      </c>
      <c r="V59" s="23">
        <f>'[1]Admin by Month'!U58+'[1]Membership by Month'!U59+'[1]Education by Month'!U59</f>
        <v>0</v>
      </c>
      <c r="W59" s="23">
        <f t="shared" si="29"/>
        <v>275</v>
      </c>
      <c r="Y59" s="25">
        <f t="shared" si="2"/>
        <v>0</v>
      </c>
    </row>
    <row r="60" spans="1:25" x14ac:dyDescent="0.35">
      <c r="A60" t="s">
        <v>155</v>
      </c>
      <c r="B60" s="5" t="s">
        <v>243</v>
      </c>
      <c r="C60" s="24">
        <v>0</v>
      </c>
      <c r="D60" s="24">
        <v>0</v>
      </c>
      <c r="E60" s="24">
        <v>0</v>
      </c>
      <c r="F60" s="23">
        <f t="shared" si="25"/>
        <v>0</v>
      </c>
      <c r="K60" s="23">
        <f>'[1]Admin by Month'!J59+'[1]Membership by Month'!J60+'[1]Education by Month'!J60</f>
        <v>0</v>
      </c>
      <c r="L60" s="23">
        <f>'[1]Admin by Month'!K59+'[1]Membership by Month'!K60+'[1]Education by Month'!K60</f>
        <v>0</v>
      </c>
      <c r="M60" s="23">
        <f>'[1]Admin by Month'!L59+'[1]Membership by Month'!L60+'[1]Education by Month'!L60</f>
        <v>0</v>
      </c>
      <c r="N60" s="23">
        <f>'[1]Admin by Month'!M59+'[1]Membership by Month'!M60+'[1]Education by Month'!M60</f>
        <v>0</v>
      </c>
      <c r="O60" s="23">
        <f>'[1]Admin by Month'!N59+'[1]Membership by Month'!N60+'[1]Education by Month'!N60</f>
        <v>0</v>
      </c>
      <c r="P60" s="23">
        <f>'[1]Admin by Month'!O59+'[1]Membership by Month'!O60+'[1]Education by Month'!O60</f>
        <v>0</v>
      </c>
      <c r="Q60" s="23">
        <f>'[1]Admin by Month'!P59+'[1]Membership by Month'!P60+'[1]Education by Month'!P60</f>
        <v>0</v>
      </c>
      <c r="R60" s="23">
        <f>'[1]Admin by Month'!Q59+'[1]Membership by Month'!Q60+'[1]Education by Month'!Q60</f>
        <v>0</v>
      </c>
      <c r="S60" s="23">
        <f>'[1]Admin by Month'!R59+'[1]Membership by Month'!R60+'[1]Education by Month'!R60</f>
        <v>0</v>
      </c>
      <c r="T60" s="23">
        <f>'[1]Admin by Month'!S59+'[1]Membership by Month'!S60+'[1]Education by Month'!S60</f>
        <v>0</v>
      </c>
      <c r="U60" s="23">
        <f>'[1]Admin by Month'!T59+'[1]Membership by Month'!T60+'[1]Education by Month'!T60</f>
        <v>0</v>
      </c>
      <c r="V60" s="23">
        <f>'[1]Admin by Month'!U59+'[1]Membership by Month'!U60+'[1]Education by Month'!U60</f>
        <v>0</v>
      </c>
      <c r="W60" s="23">
        <f t="shared" si="29"/>
        <v>0</v>
      </c>
      <c r="Y60" s="25">
        <f t="shared" si="2"/>
        <v>0</v>
      </c>
    </row>
    <row r="61" spans="1:25" x14ac:dyDescent="0.35">
      <c r="A61" t="s">
        <v>155</v>
      </c>
      <c r="B61" s="5" t="s">
        <v>215</v>
      </c>
      <c r="C61" s="24"/>
      <c r="D61" s="24"/>
      <c r="E61" s="24">
        <v>16200</v>
      </c>
      <c r="F61" s="23">
        <f t="shared" si="25"/>
        <v>16200</v>
      </c>
      <c r="K61" s="23">
        <f>'[1]Admin by Month'!J60+'[1]Membership by Month'!J61+'[1]Education by Month'!J61</f>
        <v>1350</v>
      </c>
      <c r="L61" s="23">
        <f>'[1]Admin by Month'!K60+'[1]Membership by Month'!K61+'[1]Education by Month'!K61</f>
        <v>1350</v>
      </c>
      <c r="M61" s="23">
        <f>'[1]Admin by Month'!L60+'[1]Membership by Month'!L61+'[1]Education by Month'!L61</f>
        <v>1350</v>
      </c>
      <c r="N61" s="23">
        <f>'[1]Admin by Month'!M60+'[1]Membership by Month'!M61+'[1]Education by Month'!M61</f>
        <v>1350</v>
      </c>
      <c r="O61" s="23">
        <f>'[1]Admin by Month'!N60+'[1]Membership by Month'!N61+'[1]Education by Month'!N61</f>
        <v>1350</v>
      </c>
      <c r="P61" s="23">
        <f>'[1]Admin by Month'!O60+'[1]Membership by Month'!O61+'[1]Education by Month'!O61</f>
        <v>1350</v>
      </c>
      <c r="Q61" s="23">
        <f>'[1]Admin by Month'!P60+'[1]Membership by Month'!P61+'[1]Education by Month'!P61</f>
        <v>1350</v>
      </c>
      <c r="R61" s="23">
        <f>'[1]Admin by Month'!Q60+'[1]Membership by Month'!Q61+'[1]Education by Month'!Q61</f>
        <v>1350</v>
      </c>
      <c r="S61" s="23">
        <f>'[1]Admin by Month'!R60+'[1]Membership by Month'!R61+'[1]Education by Month'!R61</f>
        <v>1350</v>
      </c>
      <c r="T61" s="23">
        <f>'[1]Admin by Month'!S60+'[1]Membership by Month'!S61+'[1]Education by Month'!S61</f>
        <v>1350</v>
      </c>
      <c r="U61" s="23">
        <f>'[1]Admin by Month'!T60+'[1]Membership by Month'!T61+'[1]Education by Month'!T61</f>
        <v>1350</v>
      </c>
      <c r="V61" s="23">
        <f>'[1]Admin by Month'!U60+'[1]Membership by Month'!U61+'[1]Education by Month'!U61</f>
        <v>1350</v>
      </c>
      <c r="W61" s="23">
        <f t="shared" si="29"/>
        <v>16200</v>
      </c>
      <c r="Y61" s="25">
        <f t="shared" si="2"/>
        <v>0</v>
      </c>
    </row>
    <row r="62" spans="1:25" x14ac:dyDescent="0.35">
      <c r="A62" t="s">
        <v>155</v>
      </c>
      <c r="B62" s="5" t="s">
        <v>216</v>
      </c>
      <c r="C62" s="24">
        <v>12860</v>
      </c>
      <c r="D62" s="24">
        <v>0</v>
      </c>
      <c r="E62" s="24">
        <v>0</v>
      </c>
      <c r="F62" s="23">
        <f t="shared" si="25"/>
        <v>12860</v>
      </c>
      <c r="K62" s="23">
        <f>'[1]Admin by Month'!J61+'[1]Membership by Month'!J62+'[1]Education by Month'!J62</f>
        <v>1066.6600000000001</v>
      </c>
      <c r="L62" s="23">
        <f>'[1]Admin by Month'!K61+'[1]Membership by Month'!K62+'[1]Education by Month'!K62</f>
        <v>1066.6600000000001</v>
      </c>
      <c r="M62" s="23">
        <f>'[1]Admin by Month'!L61+'[1]Membership by Month'!L62+'[1]Education by Month'!L62</f>
        <v>1066.6600000000001</v>
      </c>
      <c r="N62" s="23">
        <f>'[1]Admin by Month'!M61+'[1]Membership by Month'!M62+'[1]Education by Month'!M62</f>
        <v>1066.6600000000001</v>
      </c>
      <c r="O62" s="23">
        <f>'[1]Admin by Month'!N61+'[1]Membership by Month'!N62+'[1]Education by Month'!N62</f>
        <v>1066.6600000000001</v>
      </c>
      <c r="P62" s="23">
        <f>'[1]Admin by Month'!O61+'[1]Membership by Month'!O62+'[1]Education by Month'!O62</f>
        <v>1066.6600000000001</v>
      </c>
      <c r="Q62" s="23">
        <f>'[1]Admin by Month'!P61+'[1]Membership by Month'!P62+'[1]Education by Month'!P62</f>
        <v>1066.6600000000001</v>
      </c>
      <c r="R62" s="23">
        <f>'[1]Admin by Month'!Q61+'[1]Membership by Month'!Q62+'[1]Education by Month'!Q62</f>
        <v>1066.6600000000001</v>
      </c>
      <c r="S62" s="23">
        <f>'[1]Admin by Month'!R61+'[1]Membership by Month'!R62+'[1]Education by Month'!R62</f>
        <v>1066.6600000000001</v>
      </c>
      <c r="T62" s="23">
        <f>'[1]Admin by Month'!S61+'[1]Membership by Month'!S62+'[1]Education by Month'!S62</f>
        <v>1066.6600000000001</v>
      </c>
      <c r="U62" s="23">
        <f>'[1]Admin by Month'!T61+'[1]Membership by Month'!T62+'[1]Education by Month'!T62</f>
        <v>1066.6600000000001</v>
      </c>
      <c r="V62" s="23">
        <f>'[1]Admin by Month'!U61+'[1]Membership by Month'!U62+'[1]Education by Month'!U62</f>
        <v>1126.74</v>
      </c>
      <c r="W62" s="23">
        <f t="shared" si="29"/>
        <v>12860</v>
      </c>
      <c r="Y62" s="25">
        <f t="shared" si="2"/>
        <v>0</v>
      </c>
    </row>
    <row r="63" spans="1:25" x14ac:dyDescent="0.35">
      <c r="B63" s="5" t="s">
        <v>217</v>
      </c>
      <c r="C63" s="27">
        <f>SUM(C43:C62)</f>
        <v>120829</v>
      </c>
      <c r="D63" s="27">
        <f t="shared" ref="D63:F63" si="30">SUM(D43:D62)</f>
        <v>2625</v>
      </c>
      <c r="E63" s="27">
        <f t="shared" si="30"/>
        <v>16200</v>
      </c>
      <c r="F63" s="27">
        <f t="shared" si="30"/>
        <v>139654</v>
      </c>
      <c r="K63" s="27">
        <f t="shared" ref="K63:W63" si="31">SUM(K43:K62)</f>
        <v>11389.693333333333</v>
      </c>
      <c r="L63" s="27">
        <f t="shared" si="31"/>
        <v>10203.013333333332</v>
      </c>
      <c r="M63" s="27">
        <f t="shared" si="31"/>
        <v>9629.5733333333337</v>
      </c>
      <c r="N63" s="27">
        <f t="shared" si="31"/>
        <v>9667.8933333333334</v>
      </c>
      <c r="O63" s="27">
        <f t="shared" si="31"/>
        <v>9629.5733333333337</v>
      </c>
      <c r="P63" s="27">
        <f t="shared" si="31"/>
        <v>9867.8933333333334</v>
      </c>
      <c r="Q63" s="27">
        <f t="shared" si="31"/>
        <v>13988.193333333331</v>
      </c>
      <c r="R63" s="27">
        <f t="shared" si="31"/>
        <v>17801.513333333332</v>
      </c>
      <c r="S63" s="27">
        <f t="shared" si="31"/>
        <v>13137.193333333331</v>
      </c>
      <c r="T63" s="27">
        <f t="shared" si="31"/>
        <v>19614.513333333332</v>
      </c>
      <c r="U63" s="27">
        <f t="shared" si="31"/>
        <v>9663.1933333333327</v>
      </c>
      <c r="V63" s="27">
        <f t="shared" si="31"/>
        <v>5061.753333333334</v>
      </c>
      <c r="W63" s="27">
        <f t="shared" si="31"/>
        <v>139654</v>
      </c>
      <c r="Y63" s="25">
        <f t="shared" si="2"/>
        <v>0</v>
      </c>
    </row>
    <row r="64" spans="1:25" x14ac:dyDescent="0.35">
      <c r="A64" t="s">
        <v>164</v>
      </c>
      <c r="B64" s="5" t="s">
        <v>218</v>
      </c>
      <c r="C64" s="22"/>
      <c r="D64" s="22"/>
      <c r="E64" s="22"/>
      <c r="F64" s="23">
        <f t="shared" si="25"/>
        <v>0</v>
      </c>
      <c r="K64" s="22"/>
      <c r="L64" s="22"/>
      <c r="M64" s="22"/>
      <c r="N64" s="23"/>
      <c r="O64" s="22"/>
      <c r="P64" s="22"/>
      <c r="Q64" s="22"/>
      <c r="R64" s="23"/>
      <c r="S64" s="22"/>
      <c r="T64" s="22"/>
      <c r="U64" s="22"/>
      <c r="V64" s="23"/>
      <c r="W64" s="22"/>
      <c r="Y64" s="25">
        <f t="shared" si="2"/>
        <v>0</v>
      </c>
    </row>
    <row r="65" spans="1:25" x14ac:dyDescent="0.35">
      <c r="A65" t="s">
        <v>164</v>
      </c>
      <c r="B65" s="5" t="s">
        <v>219</v>
      </c>
      <c r="C65" s="24">
        <v>378000</v>
      </c>
      <c r="D65" s="24">
        <v>0</v>
      </c>
      <c r="E65" s="24">
        <v>0</v>
      </c>
      <c r="F65" s="23">
        <f t="shared" si="25"/>
        <v>378000</v>
      </c>
      <c r="K65" s="23">
        <f>'[1]Admin by Month'!J64+'[1]Membership by Month'!J65+'[1]Education by Month'!J65</f>
        <v>31500</v>
      </c>
      <c r="L65" s="23">
        <f>'[1]Admin by Month'!K64+'[1]Membership by Month'!K65+'[1]Education by Month'!K65</f>
        <v>31500</v>
      </c>
      <c r="M65" s="23">
        <f>'[1]Admin by Month'!L64+'[1]Membership by Month'!L65+'[1]Education by Month'!L65</f>
        <v>31500</v>
      </c>
      <c r="N65" s="23">
        <f>'[1]Admin by Month'!M64+'[1]Membership by Month'!M65+'[1]Education by Month'!M65</f>
        <v>31500</v>
      </c>
      <c r="O65" s="23">
        <f>'[1]Admin by Month'!N64+'[1]Membership by Month'!N65+'[1]Education by Month'!N65</f>
        <v>31500</v>
      </c>
      <c r="P65" s="23">
        <f>'[1]Admin by Month'!O64+'[1]Membership by Month'!O65+'[1]Education by Month'!O65</f>
        <v>31500</v>
      </c>
      <c r="Q65" s="23">
        <f>'[1]Admin by Month'!P64+'[1]Membership by Month'!P65+'[1]Education by Month'!P65</f>
        <v>31500</v>
      </c>
      <c r="R65" s="23">
        <f>'[1]Admin by Month'!Q64+'[1]Membership by Month'!Q65+'[1]Education by Month'!Q65</f>
        <v>31500</v>
      </c>
      <c r="S65" s="23">
        <f>'[1]Admin by Month'!R64+'[1]Membership by Month'!R65+'[1]Education by Month'!R65</f>
        <v>31500</v>
      </c>
      <c r="T65" s="23">
        <f>'[1]Admin by Month'!S64+'[1]Membership by Month'!S65+'[1]Education by Month'!S65</f>
        <v>31500</v>
      </c>
      <c r="U65" s="23">
        <f>'[1]Admin by Month'!T64+'[1]Membership by Month'!T65+'[1]Education by Month'!T65</f>
        <v>31500</v>
      </c>
      <c r="V65" s="23">
        <f>'[1]Admin by Month'!U64+'[1]Membership by Month'!U65+'[1]Education by Month'!U65</f>
        <v>31500</v>
      </c>
      <c r="W65" s="23">
        <f t="shared" ref="W65:W68" si="32">SUM(K65:V65)</f>
        <v>378000</v>
      </c>
      <c r="Y65" s="25">
        <f t="shared" si="2"/>
        <v>0</v>
      </c>
    </row>
    <row r="66" spans="1:25" x14ac:dyDescent="0.35">
      <c r="A66" t="s">
        <v>164</v>
      </c>
      <c r="B66" s="5" t="s">
        <v>220</v>
      </c>
      <c r="C66" s="24">
        <v>30578</v>
      </c>
      <c r="D66" s="24">
        <v>0</v>
      </c>
      <c r="E66" s="24">
        <v>0</v>
      </c>
      <c r="F66" s="23">
        <f t="shared" si="25"/>
        <v>30578</v>
      </c>
      <c r="K66" s="23">
        <f>'[1]Admin by Month'!J65+'[1]Membership by Month'!J66+'[1]Education by Month'!J66</f>
        <v>2548.1666666666665</v>
      </c>
      <c r="L66" s="23">
        <f>'[1]Admin by Month'!K65+'[1]Membership by Month'!K66+'[1]Education by Month'!K66</f>
        <v>2548.1666666666665</v>
      </c>
      <c r="M66" s="23">
        <f>'[1]Admin by Month'!L65+'[1]Membership by Month'!L66+'[1]Education by Month'!L66</f>
        <v>2548.1666666666665</v>
      </c>
      <c r="N66" s="23">
        <f>'[1]Admin by Month'!M65+'[1]Membership by Month'!M66+'[1]Education by Month'!M66</f>
        <v>2548.1666666666665</v>
      </c>
      <c r="O66" s="23">
        <f>'[1]Admin by Month'!N65+'[1]Membership by Month'!N66+'[1]Education by Month'!N66</f>
        <v>2548.1666666666665</v>
      </c>
      <c r="P66" s="23">
        <f>'[1]Admin by Month'!O65+'[1]Membership by Month'!O66+'[1]Education by Month'!O66</f>
        <v>2548.1666666666665</v>
      </c>
      <c r="Q66" s="23">
        <f>'[1]Admin by Month'!P65+'[1]Membership by Month'!P66+'[1]Education by Month'!P66</f>
        <v>2548.1666666666665</v>
      </c>
      <c r="R66" s="23">
        <f>'[1]Admin by Month'!Q65+'[1]Membership by Month'!Q66+'[1]Education by Month'!Q66</f>
        <v>2548.1666666666665</v>
      </c>
      <c r="S66" s="23">
        <f>'[1]Admin by Month'!R65+'[1]Membership by Month'!R66+'[1]Education by Month'!R66</f>
        <v>2548.1666666666665</v>
      </c>
      <c r="T66" s="23">
        <f>'[1]Admin by Month'!S65+'[1]Membership by Month'!S66+'[1]Education by Month'!S66</f>
        <v>2548.1666666666665</v>
      </c>
      <c r="U66" s="23">
        <f>'[1]Admin by Month'!T65+'[1]Membership by Month'!T66+'[1]Education by Month'!T66</f>
        <v>2548.1666666666665</v>
      </c>
      <c r="V66" s="23">
        <f>'[1]Admin by Month'!U65+'[1]Membership by Month'!U66+'[1]Education by Month'!U66</f>
        <v>2548.1666666666665</v>
      </c>
      <c r="W66" s="23">
        <f t="shared" si="32"/>
        <v>30578.000000000004</v>
      </c>
      <c r="Y66" s="25">
        <f t="shared" si="2"/>
        <v>0</v>
      </c>
    </row>
    <row r="67" spans="1:25" x14ac:dyDescent="0.35">
      <c r="A67" t="s">
        <v>164</v>
      </c>
      <c r="B67" s="5" t="s">
        <v>244</v>
      </c>
      <c r="C67" s="23"/>
      <c r="D67" s="23"/>
      <c r="E67" s="23"/>
      <c r="F67" s="23">
        <f t="shared" si="25"/>
        <v>0</v>
      </c>
      <c r="K67" s="23">
        <f>'[1]Admin by Month'!J67+'[1]Membership by Month'!J67+'[1]Education by Month'!J67</f>
        <v>0</v>
      </c>
      <c r="L67" s="23">
        <f>'[1]Admin by Month'!K67+'[1]Membership by Month'!K67+'[1]Education by Month'!K67</f>
        <v>0</v>
      </c>
      <c r="M67" s="23">
        <f>'[1]Admin by Month'!L67+'[1]Membership by Month'!L67+'[1]Education by Month'!L67</f>
        <v>0</v>
      </c>
      <c r="N67" s="23">
        <f>'[1]Admin by Month'!M67+'[1]Membership by Month'!M67+'[1]Education by Month'!M67</f>
        <v>0</v>
      </c>
      <c r="O67" s="23">
        <f>'[1]Admin by Month'!N67+'[1]Membership by Month'!N67+'[1]Education by Month'!N67</f>
        <v>0</v>
      </c>
      <c r="P67" s="23">
        <f>'[1]Admin by Month'!O67+'[1]Membership by Month'!O67+'[1]Education by Month'!O67</f>
        <v>0</v>
      </c>
      <c r="Q67" s="23">
        <f>'[1]Admin by Month'!P67+'[1]Membership by Month'!P67+'[1]Education by Month'!P67</f>
        <v>0</v>
      </c>
      <c r="R67" s="23">
        <f>'[1]Admin by Month'!Q67+'[1]Membership by Month'!Q67+'[1]Education by Month'!Q67</f>
        <v>0</v>
      </c>
      <c r="S67" s="23">
        <f>'[1]Admin by Month'!R67+'[1]Membership by Month'!R67+'[1]Education by Month'!R67</f>
        <v>0</v>
      </c>
      <c r="T67" s="23">
        <f>'[1]Admin by Month'!S67+'[1]Membership by Month'!S67+'[1]Education by Month'!S67</f>
        <v>0</v>
      </c>
      <c r="U67" s="23">
        <f>'[1]Admin by Month'!T67+'[1]Membership by Month'!T67+'[1]Education by Month'!T67</f>
        <v>0</v>
      </c>
      <c r="V67" s="23">
        <f>'[1]Admin by Month'!U67+'[1]Membership by Month'!U67+'[1]Education by Month'!U67</f>
        <v>0</v>
      </c>
      <c r="W67" s="23">
        <f t="shared" si="32"/>
        <v>0</v>
      </c>
      <c r="Y67" s="25">
        <f t="shared" si="2"/>
        <v>0</v>
      </c>
    </row>
    <row r="68" spans="1:25" x14ac:dyDescent="0.35">
      <c r="A68" t="s">
        <v>164</v>
      </c>
      <c r="B68" s="5" t="s">
        <v>221</v>
      </c>
      <c r="C68" s="24">
        <v>1540</v>
      </c>
      <c r="D68" s="24">
        <v>0</v>
      </c>
      <c r="E68" s="24">
        <v>0</v>
      </c>
      <c r="F68" s="23">
        <f t="shared" si="25"/>
        <v>1540</v>
      </c>
      <c r="K68" s="23">
        <f>'[1]Admin by Month'!J68+'[1]Membership by Month'!J68+'[1]Education by Month'!J68</f>
        <v>128.33333333333334</v>
      </c>
      <c r="L68" s="23">
        <f>'[1]Admin by Month'!K68+'[1]Membership by Month'!K68+'[1]Education by Month'!K68</f>
        <v>128.33333333333334</v>
      </c>
      <c r="M68" s="23">
        <f>'[1]Admin by Month'!L68+'[1]Membership by Month'!L68+'[1]Education by Month'!L68</f>
        <v>128.33333333333334</v>
      </c>
      <c r="N68" s="23">
        <f>'[1]Admin by Month'!M68+'[1]Membership by Month'!M68+'[1]Education by Month'!M68</f>
        <v>128.33333333333334</v>
      </c>
      <c r="O68" s="23">
        <f>'[1]Admin by Month'!N68+'[1]Membership by Month'!N68+'[1]Education by Month'!N68</f>
        <v>128.33333333333334</v>
      </c>
      <c r="P68" s="23">
        <f>'[1]Admin by Month'!O68+'[1]Membership by Month'!O68+'[1]Education by Month'!O68</f>
        <v>128.33333333333334</v>
      </c>
      <c r="Q68" s="23">
        <f>'[1]Admin by Month'!P68+'[1]Membership by Month'!P68+'[1]Education by Month'!P68</f>
        <v>128.33333333333334</v>
      </c>
      <c r="R68" s="23">
        <f>'[1]Admin by Month'!Q68+'[1]Membership by Month'!Q68+'[1]Education by Month'!Q68</f>
        <v>128.33333333333334</v>
      </c>
      <c r="S68" s="23">
        <f>'[1]Admin by Month'!R68+'[1]Membership by Month'!R68+'[1]Education by Month'!R68</f>
        <v>128.33333333333334</v>
      </c>
      <c r="T68" s="23">
        <f>'[1]Admin by Month'!S68+'[1]Membership by Month'!S68+'[1]Education by Month'!S68</f>
        <v>128.33333333333334</v>
      </c>
      <c r="U68" s="23">
        <f>'[1]Admin by Month'!T68+'[1]Membership by Month'!T68+'[1]Education by Month'!T68</f>
        <v>128.33333333333334</v>
      </c>
      <c r="V68" s="23">
        <f>'[1]Admin by Month'!U68+'[1]Membership by Month'!U68+'[1]Education by Month'!U68</f>
        <v>128.33333333333334</v>
      </c>
      <c r="W68" s="23">
        <f t="shared" si="32"/>
        <v>1539.9999999999998</v>
      </c>
      <c r="Y68" s="25">
        <f t="shared" si="2"/>
        <v>0</v>
      </c>
    </row>
    <row r="69" spans="1:25" x14ac:dyDescent="0.35">
      <c r="B69" s="5" t="s">
        <v>222</v>
      </c>
      <c r="C69" s="27">
        <f>SUM(C64:C68)</f>
        <v>410118</v>
      </c>
      <c r="D69" s="27">
        <f t="shared" ref="D69:F69" si="33">SUM(D64:D68)</f>
        <v>0</v>
      </c>
      <c r="E69" s="27">
        <f t="shared" si="33"/>
        <v>0</v>
      </c>
      <c r="F69" s="27">
        <f t="shared" si="33"/>
        <v>410118</v>
      </c>
      <c r="G69" s="3">
        <v>410118</v>
      </c>
      <c r="H69" s="3">
        <f>F69-G69</f>
        <v>0</v>
      </c>
      <c r="K69" s="27">
        <f t="shared" ref="K69:W69" si="34">SUM(K64:K68)</f>
        <v>34176.5</v>
      </c>
      <c r="L69" s="27">
        <f t="shared" si="34"/>
        <v>34176.5</v>
      </c>
      <c r="M69" s="27">
        <f t="shared" si="34"/>
        <v>34176.5</v>
      </c>
      <c r="N69" s="27">
        <f t="shared" si="34"/>
        <v>34176.5</v>
      </c>
      <c r="O69" s="27">
        <f t="shared" si="34"/>
        <v>34176.5</v>
      </c>
      <c r="P69" s="27">
        <f t="shared" si="34"/>
        <v>34176.5</v>
      </c>
      <c r="Q69" s="27">
        <f t="shared" si="34"/>
        <v>34176.5</v>
      </c>
      <c r="R69" s="27">
        <f t="shared" si="34"/>
        <v>34176.5</v>
      </c>
      <c r="S69" s="27">
        <f t="shared" si="34"/>
        <v>34176.5</v>
      </c>
      <c r="T69" s="27">
        <f t="shared" si="34"/>
        <v>34176.5</v>
      </c>
      <c r="U69" s="27">
        <f t="shared" si="34"/>
        <v>34176.5</v>
      </c>
      <c r="V69" s="27">
        <f t="shared" si="34"/>
        <v>34176.5</v>
      </c>
      <c r="W69" s="27">
        <f t="shared" si="34"/>
        <v>410118</v>
      </c>
      <c r="Y69" s="25">
        <f t="shared" si="2"/>
        <v>0</v>
      </c>
    </row>
    <row r="70" spans="1:25" x14ac:dyDescent="0.35">
      <c r="A70" t="s">
        <v>152</v>
      </c>
      <c r="B70" s="5" t="s">
        <v>223</v>
      </c>
      <c r="C70" s="22"/>
      <c r="D70" s="22"/>
      <c r="E70" s="22"/>
      <c r="F70" s="23">
        <f t="shared" si="25"/>
        <v>0</v>
      </c>
      <c r="K70" s="22"/>
      <c r="L70" s="22"/>
      <c r="M70" s="22"/>
      <c r="N70" s="23"/>
      <c r="O70" s="22"/>
      <c r="P70" s="22"/>
      <c r="Q70" s="22"/>
      <c r="R70" s="23"/>
      <c r="S70" s="22"/>
      <c r="T70" s="22"/>
      <c r="U70" s="22"/>
      <c r="V70" s="23"/>
      <c r="W70" s="22"/>
      <c r="Y70" s="25">
        <f t="shared" si="2"/>
        <v>0</v>
      </c>
    </row>
    <row r="71" spans="1:25" x14ac:dyDescent="0.35">
      <c r="A71" t="s">
        <v>152</v>
      </c>
      <c r="B71" s="5" t="s">
        <v>224</v>
      </c>
      <c r="C71" s="26">
        <v>1020</v>
      </c>
      <c r="D71" s="26">
        <v>0</v>
      </c>
      <c r="E71" s="26">
        <v>0</v>
      </c>
      <c r="F71" s="23">
        <f t="shared" si="25"/>
        <v>1020</v>
      </c>
      <c r="K71" s="23">
        <f>'[1]Admin by Month'!J71+'[1]Membership by Month'!J71+'[1]Education by Month'!J71</f>
        <v>85</v>
      </c>
      <c r="L71" s="23">
        <f>'[1]Admin by Month'!K71+'[1]Membership by Month'!K71+'[1]Education by Month'!K71</f>
        <v>85</v>
      </c>
      <c r="M71" s="23">
        <f>'[1]Admin by Month'!L71+'[1]Membership by Month'!L71+'[1]Education by Month'!L71</f>
        <v>85</v>
      </c>
      <c r="N71" s="23">
        <f>'[1]Admin by Month'!M71+'[1]Membership by Month'!M71+'[1]Education by Month'!M71</f>
        <v>85</v>
      </c>
      <c r="O71" s="23">
        <f>'[1]Admin by Month'!N71+'[1]Membership by Month'!N71+'[1]Education by Month'!N71</f>
        <v>85</v>
      </c>
      <c r="P71" s="23">
        <f>'[1]Admin by Month'!O71+'[1]Membership by Month'!O71+'[1]Education by Month'!O71</f>
        <v>85</v>
      </c>
      <c r="Q71" s="23">
        <f>'[1]Admin by Month'!P71+'[1]Membership by Month'!P71+'[1]Education by Month'!P71</f>
        <v>85</v>
      </c>
      <c r="R71" s="23">
        <f>'[1]Admin by Month'!Q71+'[1]Membership by Month'!Q71+'[1]Education by Month'!Q71</f>
        <v>85</v>
      </c>
      <c r="S71" s="23">
        <f>'[1]Admin by Month'!R71+'[1]Membership by Month'!R71+'[1]Education by Month'!R71</f>
        <v>85</v>
      </c>
      <c r="T71" s="23">
        <f>'[1]Admin by Month'!S71+'[1]Membership by Month'!S71+'[1]Education by Month'!S71</f>
        <v>85</v>
      </c>
      <c r="U71" s="23">
        <f>'[1]Admin by Month'!T71+'[1]Membership by Month'!T71+'[1]Education by Month'!T71</f>
        <v>85</v>
      </c>
      <c r="V71" s="23">
        <f>'[1]Admin by Month'!U71+'[1]Membership by Month'!U71+'[1]Education by Month'!U71</f>
        <v>85</v>
      </c>
      <c r="W71" s="23">
        <f t="shared" ref="W71:W75" si="35">SUM(K71:V71)</f>
        <v>1020</v>
      </c>
      <c r="Y71" s="25">
        <f t="shared" si="2"/>
        <v>0</v>
      </c>
    </row>
    <row r="72" spans="1:25" x14ac:dyDescent="0.35">
      <c r="A72" t="s">
        <v>152</v>
      </c>
      <c r="B72" s="5" t="s">
        <v>225</v>
      </c>
      <c r="C72" s="24">
        <v>79920</v>
      </c>
      <c r="D72" s="24">
        <v>0</v>
      </c>
      <c r="E72" s="24">
        <v>0</v>
      </c>
      <c r="F72" s="23">
        <f t="shared" si="25"/>
        <v>79920</v>
      </c>
      <c r="K72" s="23">
        <f>'[1]Admin by Month'!J72+'[1]Membership by Month'!J72+'[1]Education by Month'!J72</f>
        <v>6660</v>
      </c>
      <c r="L72" s="23">
        <f>'[1]Admin by Month'!K72+'[1]Membership by Month'!K72+'[1]Education by Month'!K72</f>
        <v>6660</v>
      </c>
      <c r="M72" s="23">
        <f>'[1]Admin by Month'!L72+'[1]Membership by Month'!L72+'[1]Education by Month'!L72</f>
        <v>6660</v>
      </c>
      <c r="N72" s="23">
        <f>'[1]Admin by Month'!M72+'[1]Membership by Month'!M72+'[1]Education by Month'!M72</f>
        <v>6660</v>
      </c>
      <c r="O72" s="23">
        <f>'[1]Admin by Month'!N72+'[1]Membership by Month'!N72+'[1]Education by Month'!N72</f>
        <v>6660</v>
      </c>
      <c r="P72" s="23">
        <f>'[1]Admin by Month'!O72+'[1]Membership by Month'!O72+'[1]Education by Month'!O72</f>
        <v>6660</v>
      </c>
      <c r="Q72" s="23">
        <f>'[1]Admin by Month'!P72+'[1]Membership by Month'!P72+'[1]Education by Month'!P72</f>
        <v>6660</v>
      </c>
      <c r="R72" s="23">
        <f>'[1]Admin by Month'!Q72+'[1]Membership by Month'!Q72+'[1]Education by Month'!Q72</f>
        <v>6660</v>
      </c>
      <c r="S72" s="23">
        <f>'[1]Admin by Month'!R72+'[1]Membership by Month'!R72+'[1]Education by Month'!R72</f>
        <v>6660</v>
      </c>
      <c r="T72" s="23">
        <f>'[1]Admin by Month'!S72+'[1]Membership by Month'!S72+'[1]Education by Month'!S72</f>
        <v>6660</v>
      </c>
      <c r="U72" s="23">
        <f>'[1]Admin by Month'!T72+'[1]Membership by Month'!T72+'[1]Education by Month'!T72</f>
        <v>6660</v>
      </c>
      <c r="V72" s="23">
        <f>'[1]Admin by Month'!U72+'[1]Membership by Month'!U72+'[1]Education by Month'!U72</f>
        <v>6660</v>
      </c>
      <c r="W72" s="23">
        <f t="shared" si="35"/>
        <v>79920</v>
      </c>
      <c r="Y72" s="25">
        <f t="shared" si="2"/>
        <v>0</v>
      </c>
    </row>
    <row r="73" spans="1:25" x14ac:dyDescent="0.35">
      <c r="A73" t="s">
        <v>152</v>
      </c>
      <c r="B73" s="5" t="s">
        <v>226</v>
      </c>
      <c r="C73" s="24">
        <v>500</v>
      </c>
      <c r="D73" s="24">
        <v>0</v>
      </c>
      <c r="E73" s="24">
        <v>0</v>
      </c>
      <c r="F73" s="23">
        <f t="shared" si="25"/>
        <v>500</v>
      </c>
      <c r="K73" s="23">
        <f>'[1]Admin by Month'!J73+'[1]Membership by Month'!J73+'[1]Education by Month'!J73</f>
        <v>41.666666666666664</v>
      </c>
      <c r="L73" s="23">
        <f>'[1]Admin by Month'!K73+'[1]Membership by Month'!K73+'[1]Education by Month'!K73</f>
        <v>41.666666666666664</v>
      </c>
      <c r="M73" s="23">
        <f>'[1]Admin by Month'!L73+'[1]Membership by Month'!L73+'[1]Education by Month'!L73</f>
        <v>41.666666666666664</v>
      </c>
      <c r="N73" s="23">
        <f>'[1]Admin by Month'!M73+'[1]Membership by Month'!M73+'[1]Education by Month'!M73</f>
        <v>41.666666666666664</v>
      </c>
      <c r="O73" s="23">
        <f>'[1]Admin by Month'!N73+'[1]Membership by Month'!N73+'[1]Education by Month'!N73</f>
        <v>41.666666666666664</v>
      </c>
      <c r="P73" s="23">
        <f>'[1]Admin by Month'!O73+'[1]Membership by Month'!O73+'[1]Education by Month'!O73</f>
        <v>41.666666666666664</v>
      </c>
      <c r="Q73" s="23">
        <f>'[1]Admin by Month'!P73+'[1]Membership by Month'!P73+'[1]Education by Month'!P73</f>
        <v>41.666666666666664</v>
      </c>
      <c r="R73" s="23">
        <f>'[1]Admin by Month'!Q73+'[1]Membership by Month'!Q73+'[1]Education by Month'!Q73</f>
        <v>41.666666666666664</v>
      </c>
      <c r="S73" s="23">
        <f>'[1]Admin by Month'!R73+'[1]Membership by Month'!R73+'[1]Education by Month'!R73</f>
        <v>41.666666666666664</v>
      </c>
      <c r="T73" s="23">
        <f>'[1]Admin by Month'!S73+'[1]Membership by Month'!S73+'[1]Education by Month'!S73</f>
        <v>41.666666666666664</v>
      </c>
      <c r="U73" s="23">
        <f>'[1]Admin by Month'!T73+'[1]Membership by Month'!T73+'[1]Education by Month'!T73</f>
        <v>41.666666666666664</v>
      </c>
      <c r="V73" s="23">
        <f>'[1]Admin by Month'!U73+'[1]Membership by Month'!U73+'[1]Education by Month'!U73</f>
        <v>41.666666666666664</v>
      </c>
      <c r="W73" s="23">
        <f t="shared" si="35"/>
        <v>500.00000000000006</v>
      </c>
      <c r="Y73" s="25">
        <f t="shared" ref="Y73:Y96" si="36">F73-W73</f>
        <v>0</v>
      </c>
    </row>
    <row r="74" spans="1:25" x14ac:dyDescent="0.35">
      <c r="A74" t="s">
        <v>152</v>
      </c>
      <c r="B74" s="5" t="s">
        <v>227</v>
      </c>
      <c r="C74" s="24">
        <v>300</v>
      </c>
      <c r="D74" s="24">
        <v>0</v>
      </c>
      <c r="E74" s="24">
        <v>0</v>
      </c>
      <c r="F74" s="23">
        <f t="shared" si="25"/>
        <v>300</v>
      </c>
      <c r="K74" s="23">
        <f>'[1]Admin by Month'!J74+'[1]Membership by Month'!J74+'[1]Education by Month'!J74</f>
        <v>25</v>
      </c>
      <c r="L74" s="23">
        <f>'[1]Admin by Month'!K74+'[1]Membership by Month'!K74+'[1]Education by Month'!K74</f>
        <v>25</v>
      </c>
      <c r="M74" s="23">
        <f>'[1]Admin by Month'!L74+'[1]Membership by Month'!L74+'[1]Education by Month'!L74</f>
        <v>25</v>
      </c>
      <c r="N74" s="23">
        <f>'[1]Admin by Month'!M74+'[1]Membership by Month'!M74+'[1]Education by Month'!M74</f>
        <v>25</v>
      </c>
      <c r="O74" s="23">
        <f>'[1]Admin by Month'!N74+'[1]Membership by Month'!N74+'[1]Education by Month'!N74</f>
        <v>25</v>
      </c>
      <c r="P74" s="23">
        <f>'[1]Admin by Month'!O74+'[1]Membership by Month'!O74+'[1]Education by Month'!O74</f>
        <v>25</v>
      </c>
      <c r="Q74" s="23">
        <f>'[1]Admin by Month'!P74+'[1]Membership by Month'!P74+'[1]Education by Month'!P74</f>
        <v>25</v>
      </c>
      <c r="R74" s="23">
        <f>'[1]Admin by Month'!Q74+'[1]Membership by Month'!Q74+'[1]Education by Month'!Q74</f>
        <v>25</v>
      </c>
      <c r="S74" s="23">
        <f>'[1]Admin by Month'!R74+'[1]Membership by Month'!R74+'[1]Education by Month'!R74</f>
        <v>25</v>
      </c>
      <c r="T74" s="23">
        <f>'[1]Admin by Month'!S74+'[1]Membership by Month'!S74+'[1]Education by Month'!S74</f>
        <v>25</v>
      </c>
      <c r="U74" s="23">
        <f>'[1]Admin by Month'!T74+'[1]Membership by Month'!T74+'[1]Education by Month'!T74</f>
        <v>25</v>
      </c>
      <c r="V74" s="23">
        <f>'[1]Admin by Month'!U74+'[1]Membership by Month'!U74+'[1]Education by Month'!U74</f>
        <v>25</v>
      </c>
      <c r="W74" s="23">
        <f t="shared" si="35"/>
        <v>300</v>
      </c>
      <c r="Y74" s="25">
        <f t="shared" si="36"/>
        <v>0</v>
      </c>
    </row>
    <row r="75" spans="1:25" x14ac:dyDescent="0.35">
      <c r="A75" t="s">
        <v>152</v>
      </c>
      <c r="B75" s="5" t="s">
        <v>228</v>
      </c>
      <c r="C75" s="24">
        <v>26920</v>
      </c>
      <c r="D75" s="24">
        <v>0</v>
      </c>
      <c r="E75" s="24">
        <v>0</v>
      </c>
      <c r="F75" s="23">
        <f t="shared" si="25"/>
        <v>26920</v>
      </c>
      <c r="K75" s="23">
        <f>'[1]Admin by Month'!J75+'[1]Membership by Month'!J75+'[1]Education by Month'!J75</f>
        <v>8843.33</v>
      </c>
      <c r="L75" s="23">
        <f>'[1]Admin by Month'!K75+'[1]Membership by Month'!K75+'[1]Education by Month'!K75</f>
        <v>1643.33</v>
      </c>
      <c r="M75" s="23">
        <f>'[1]Admin by Month'!L75+'[1]Membership by Month'!L75+'[1]Education by Month'!L75</f>
        <v>1643.33</v>
      </c>
      <c r="N75" s="23">
        <f>'[1]Admin by Month'!M75+'[1]Membership by Month'!M75+'[1]Education by Month'!M75</f>
        <v>1643.33</v>
      </c>
      <c r="O75" s="23">
        <f>'[1]Admin by Month'!N75+'[1]Membership by Month'!N75+'[1]Education by Month'!N75</f>
        <v>1643.33</v>
      </c>
      <c r="P75" s="23">
        <f>'[1]Admin by Month'!O75+'[1]Membership by Month'!O75+'[1]Education by Month'!O75</f>
        <v>1643.33</v>
      </c>
      <c r="Q75" s="23">
        <f>'[1]Admin by Month'!P75+'[1]Membership by Month'!P75+'[1]Education by Month'!P75</f>
        <v>1643.33</v>
      </c>
      <c r="R75" s="23">
        <f>'[1]Admin by Month'!Q75+'[1]Membership by Month'!Q75+'[1]Education by Month'!Q75</f>
        <v>1643.33</v>
      </c>
      <c r="S75" s="23">
        <f>'[1]Admin by Month'!R75+'[1]Membership by Month'!R75+'[1]Education by Month'!R75</f>
        <v>1643.33</v>
      </c>
      <c r="T75" s="23">
        <f>'[1]Admin by Month'!S75+'[1]Membership by Month'!S75+'[1]Education by Month'!S75</f>
        <v>1643.33</v>
      </c>
      <c r="U75" s="23">
        <f>'[1]Admin by Month'!T75+'[1]Membership by Month'!T75+'[1]Education by Month'!T75</f>
        <v>1643.33</v>
      </c>
      <c r="V75" s="23">
        <f>'[1]Admin by Month'!U75+'[1]Membership by Month'!U75+'[1]Education by Month'!U75</f>
        <v>1643.37</v>
      </c>
      <c r="W75" s="23">
        <f t="shared" si="35"/>
        <v>26920.000000000004</v>
      </c>
      <c r="Y75" s="25">
        <f t="shared" si="36"/>
        <v>0</v>
      </c>
    </row>
    <row r="76" spans="1:25" x14ac:dyDescent="0.35">
      <c r="B76" s="5" t="s">
        <v>229</v>
      </c>
      <c r="C76" s="27">
        <f>SUM(C70:C75)</f>
        <v>108660</v>
      </c>
      <c r="D76" s="27">
        <f t="shared" ref="D76:F76" si="37">SUM(D70:D75)</f>
        <v>0</v>
      </c>
      <c r="E76" s="27">
        <f t="shared" si="37"/>
        <v>0</v>
      </c>
      <c r="F76" s="27">
        <f t="shared" si="37"/>
        <v>108660</v>
      </c>
      <c r="G76" s="3">
        <v>108660</v>
      </c>
      <c r="H76" s="3">
        <f>F76-G76</f>
        <v>0</v>
      </c>
      <c r="K76" s="27">
        <f t="shared" ref="K76:W76" si="38">SUM(K70:K75)</f>
        <v>15654.996666666666</v>
      </c>
      <c r="L76" s="27">
        <f t="shared" si="38"/>
        <v>8454.996666666666</v>
      </c>
      <c r="M76" s="27">
        <f t="shared" si="38"/>
        <v>8454.996666666666</v>
      </c>
      <c r="N76" s="27">
        <f t="shared" si="38"/>
        <v>8454.996666666666</v>
      </c>
      <c r="O76" s="27">
        <f t="shared" si="38"/>
        <v>8454.996666666666</v>
      </c>
      <c r="P76" s="27">
        <f t="shared" si="38"/>
        <v>8454.996666666666</v>
      </c>
      <c r="Q76" s="27">
        <f t="shared" si="38"/>
        <v>8454.996666666666</v>
      </c>
      <c r="R76" s="27">
        <f t="shared" si="38"/>
        <v>8454.996666666666</v>
      </c>
      <c r="S76" s="27">
        <f t="shared" si="38"/>
        <v>8454.996666666666</v>
      </c>
      <c r="T76" s="27">
        <f t="shared" si="38"/>
        <v>8454.996666666666</v>
      </c>
      <c r="U76" s="27">
        <f t="shared" si="38"/>
        <v>8454.996666666666</v>
      </c>
      <c r="V76" s="27">
        <f t="shared" si="38"/>
        <v>8455.0366666666669</v>
      </c>
      <c r="W76" s="27">
        <f t="shared" si="38"/>
        <v>108660</v>
      </c>
      <c r="Y76" s="25">
        <f t="shared" si="36"/>
        <v>0</v>
      </c>
    </row>
    <row r="77" spans="1:25" x14ac:dyDescent="0.35">
      <c r="A77" t="s">
        <v>155</v>
      </c>
      <c r="B77" s="5" t="s">
        <v>230</v>
      </c>
      <c r="C77" s="22"/>
      <c r="D77" s="23"/>
      <c r="E77" s="23"/>
      <c r="F77" s="23">
        <f t="shared" si="25"/>
        <v>0</v>
      </c>
      <c r="K77" s="22"/>
      <c r="L77" s="23"/>
      <c r="M77" s="23"/>
      <c r="N77" s="23"/>
      <c r="O77" s="22"/>
      <c r="P77" s="23"/>
      <c r="Q77" s="23"/>
      <c r="R77" s="23"/>
      <c r="S77" s="22"/>
      <c r="T77" s="23"/>
      <c r="U77" s="23"/>
      <c r="V77" s="23"/>
      <c r="W77" s="22"/>
      <c r="Y77" s="25">
        <f t="shared" si="36"/>
        <v>0</v>
      </c>
    </row>
    <row r="78" spans="1:25" x14ac:dyDescent="0.35">
      <c r="A78" t="s">
        <v>155</v>
      </c>
      <c r="B78" s="5" t="s">
        <v>231</v>
      </c>
      <c r="C78" s="24">
        <v>480</v>
      </c>
      <c r="D78" s="24">
        <v>0</v>
      </c>
      <c r="E78" s="24">
        <v>0</v>
      </c>
      <c r="F78" s="23">
        <f t="shared" si="25"/>
        <v>480</v>
      </c>
      <c r="K78" s="23">
        <f>'[1]Admin by Month'!J78+'[1]Membership by Month'!J78+'[1]Education by Month'!J78</f>
        <v>40</v>
      </c>
      <c r="L78" s="23">
        <f>'[1]Admin by Month'!K78+'[1]Membership by Month'!K78+'[1]Education by Month'!K78</f>
        <v>40</v>
      </c>
      <c r="M78" s="23">
        <f>'[1]Admin by Month'!L78+'[1]Membership by Month'!L78+'[1]Education by Month'!L78</f>
        <v>40</v>
      </c>
      <c r="N78" s="23">
        <f>'[1]Admin by Month'!M78+'[1]Membership by Month'!M78+'[1]Education by Month'!M78</f>
        <v>40</v>
      </c>
      <c r="O78" s="23">
        <f>'[1]Admin by Month'!N78+'[1]Membership by Month'!N78+'[1]Education by Month'!N78</f>
        <v>40</v>
      </c>
      <c r="P78" s="23">
        <f>'[1]Admin by Month'!O78+'[1]Membership by Month'!O78+'[1]Education by Month'!O78</f>
        <v>40</v>
      </c>
      <c r="Q78" s="23">
        <f>'[1]Admin by Month'!P78+'[1]Membership by Month'!P78+'[1]Education by Month'!P78</f>
        <v>40</v>
      </c>
      <c r="R78" s="23">
        <f>'[1]Admin by Month'!Q78+'[1]Membership by Month'!Q78+'[1]Education by Month'!Q78</f>
        <v>40</v>
      </c>
      <c r="S78" s="23">
        <f>'[1]Admin by Month'!R78+'[1]Membership by Month'!R78+'[1]Education by Month'!R78</f>
        <v>40</v>
      </c>
      <c r="T78" s="23">
        <f>'[1]Admin by Month'!S78+'[1]Membership by Month'!S78+'[1]Education by Month'!S78</f>
        <v>40</v>
      </c>
      <c r="U78" s="23">
        <f>'[1]Admin by Month'!T78+'[1]Membership by Month'!T78+'[1]Education by Month'!T78</f>
        <v>40</v>
      </c>
      <c r="V78" s="23">
        <f>'[1]Admin by Month'!U78+'[1]Membership by Month'!U78+'[1]Education by Month'!U78</f>
        <v>40</v>
      </c>
      <c r="W78" s="23">
        <f t="shared" ref="W78:W80" si="39">SUM(K78:V78)</f>
        <v>480</v>
      </c>
      <c r="Y78" s="25">
        <f t="shared" si="36"/>
        <v>0</v>
      </c>
    </row>
    <row r="79" spans="1:25" x14ac:dyDescent="0.35">
      <c r="A79" t="s">
        <v>155</v>
      </c>
      <c r="B79" s="5" t="s">
        <v>233</v>
      </c>
      <c r="C79" s="24">
        <v>2700</v>
      </c>
      <c r="D79" s="24">
        <v>0</v>
      </c>
      <c r="E79" s="24">
        <v>0</v>
      </c>
      <c r="F79" s="23">
        <f t="shared" si="25"/>
        <v>2700</v>
      </c>
      <c r="K79" s="23">
        <f>'[1]Admin by Month'!J79+'[1]Membership by Month'!J79+'[1]Education by Month'!J79</f>
        <v>225</v>
      </c>
      <c r="L79" s="23">
        <f>'[1]Admin by Month'!K79+'[1]Membership by Month'!K79+'[1]Education by Month'!K79</f>
        <v>225</v>
      </c>
      <c r="M79" s="23">
        <f>'[1]Admin by Month'!L79+'[1]Membership by Month'!L79+'[1]Education by Month'!L79</f>
        <v>225</v>
      </c>
      <c r="N79" s="23">
        <f>'[1]Admin by Month'!M79+'[1]Membership by Month'!M79+'[1]Education by Month'!M79</f>
        <v>225</v>
      </c>
      <c r="O79" s="23">
        <f>'[1]Admin by Month'!N79+'[1]Membership by Month'!N79+'[1]Education by Month'!N79</f>
        <v>225</v>
      </c>
      <c r="P79" s="23">
        <f>'[1]Admin by Month'!O79+'[1]Membership by Month'!O79+'[1]Education by Month'!O79</f>
        <v>225</v>
      </c>
      <c r="Q79" s="23">
        <f>'[1]Admin by Month'!P79+'[1]Membership by Month'!P79+'[1]Education by Month'!P79</f>
        <v>225</v>
      </c>
      <c r="R79" s="23">
        <f>'[1]Admin by Month'!Q79+'[1]Membership by Month'!Q79+'[1]Education by Month'!Q79</f>
        <v>225</v>
      </c>
      <c r="S79" s="23">
        <f>'[1]Admin by Month'!R79+'[1]Membership by Month'!R79+'[1]Education by Month'!R79</f>
        <v>225</v>
      </c>
      <c r="T79" s="23">
        <f>'[1]Admin by Month'!S79+'[1]Membership by Month'!S79+'[1]Education by Month'!S79</f>
        <v>225</v>
      </c>
      <c r="U79" s="23">
        <f>'[1]Admin by Month'!T79+'[1]Membership by Month'!T79+'[1]Education by Month'!T79</f>
        <v>225</v>
      </c>
      <c r="V79" s="23">
        <f>'[1]Admin by Month'!U79+'[1]Membership by Month'!U79+'[1]Education by Month'!U79</f>
        <v>225</v>
      </c>
      <c r="W79" s="23">
        <f t="shared" si="39"/>
        <v>2700</v>
      </c>
      <c r="Y79" s="25">
        <f t="shared" si="36"/>
        <v>0</v>
      </c>
    </row>
    <row r="80" spans="1:25" x14ac:dyDescent="0.35">
      <c r="A80" t="s">
        <v>155</v>
      </c>
      <c r="B80" s="5" t="s">
        <v>232</v>
      </c>
      <c r="C80" s="26">
        <v>300</v>
      </c>
      <c r="D80" s="26">
        <v>0</v>
      </c>
      <c r="E80" s="26">
        <v>0</v>
      </c>
      <c r="F80" s="23">
        <f t="shared" si="25"/>
        <v>300</v>
      </c>
      <c r="K80" s="23">
        <f>'[1]Admin by Month'!J80+'[1]Membership by Month'!J80+'[1]Education by Month'!J80</f>
        <v>25</v>
      </c>
      <c r="L80" s="23">
        <f>'[1]Admin by Month'!K80+'[1]Membership by Month'!K80+'[1]Education by Month'!K80</f>
        <v>25</v>
      </c>
      <c r="M80" s="23">
        <f>'[1]Admin by Month'!L80+'[1]Membership by Month'!L80+'[1]Education by Month'!L80</f>
        <v>25</v>
      </c>
      <c r="N80" s="23">
        <f>'[1]Admin by Month'!M80+'[1]Membership by Month'!M80+'[1]Education by Month'!M80</f>
        <v>25</v>
      </c>
      <c r="O80" s="23">
        <f>'[1]Admin by Month'!N80+'[1]Membership by Month'!N80+'[1]Education by Month'!N80</f>
        <v>25</v>
      </c>
      <c r="P80" s="23">
        <f>'[1]Admin by Month'!O80+'[1]Membership by Month'!O80+'[1]Education by Month'!O80</f>
        <v>25</v>
      </c>
      <c r="Q80" s="23">
        <f>'[1]Admin by Month'!P80+'[1]Membership by Month'!P80+'[1]Education by Month'!P80</f>
        <v>25</v>
      </c>
      <c r="R80" s="23">
        <f>'[1]Admin by Month'!Q80+'[1]Membership by Month'!Q80+'[1]Education by Month'!Q80</f>
        <v>25</v>
      </c>
      <c r="S80" s="23">
        <f>'[1]Admin by Month'!R80+'[1]Membership by Month'!R80+'[1]Education by Month'!R80</f>
        <v>25</v>
      </c>
      <c r="T80" s="23">
        <f>'[1]Admin by Month'!S80+'[1]Membership by Month'!S80+'[1]Education by Month'!S80</f>
        <v>25</v>
      </c>
      <c r="U80" s="23">
        <f>'[1]Admin by Month'!T80+'[1]Membership by Month'!T80+'[1]Education by Month'!T80</f>
        <v>25</v>
      </c>
      <c r="V80" s="23">
        <f>'[1]Admin by Month'!U80+'[1]Membership by Month'!U80+'[1]Education by Month'!U80</f>
        <v>25</v>
      </c>
      <c r="W80" s="23">
        <f t="shared" si="39"/>
        <v>300</v>
      </c>
      <c r="Y80" s="25">
        <f t="shared" si="36"/>
        <v>0</v>
      </c>
    </row>
    <row r="81" spans="1:25" x14ac:dyDescent="0.35">
      <c r="B81" s="5" t="s">
        <v>234</v>
      </c>
      <c r="C81" s="27">
        <f>SUM(C77:C80)</f>
        <v>3480</v>
      </c>
      <c r="D81" s="27">
        <f t="shared" ref="D81:F81" si="40">SUM(D77:D80)</f>
        <v>0</v>
      </c>
      <c r="E81" s="27">
        <f t="shared" si="40"/>
        <v>0</v>
      </c>
      <c r="F81" s="27">
        <f t="shared" si="40"/>
        <v>3480</v>
      </c>
      <c r="G81" s="3">
        <v>3480</v>
      </c>
      <c r="H81" s="3">
        <f>F81-G81</f>
        <v>0</v>
      </c>
      <c r="K81" s="27">
        <f t="shared" ref="K81:W81" si="41">SUM(K77:K80)</f>
        <v>290</v>
      </c>
      <c r="L81" s="27">
        <f t="shared" si="41"/>
        <v>290</v>
      </c>
      <c r="M81" s="27">
        <f t="shared" si="41"/>
        <v>290</v>
      </c>
      <c r="N81" s="27">
        <f t="shared" si="41"/>
        <v>290</v>
      </c>
      <c r="O81" s="27">
        <f t="shared" si="41"/>
        <v>290</v>
      </c>
      <c r="P81" s="27">
        <f t="shared" si="41"/>
        <v>290</v>
      </c>
      <c r="Q81" s="27">
        <f t="shared" si="41"/>
        <v>290</v>
      </c>
      <c r="R81" s="27">
        <f t="shared" si="41"/>
        <v>290</v>
      </c>
      <c r="S81" s="27">
        <f t="shared" si="41"/>
        <v>290</v>
      </c>
      <c r="T81" s="27">
        <f t="shared" si="41"/>
        <v>290</v>
      </c>
      <c r="U81" s="27">
        <f t="shared" si="41"/>
        <v>290</v>
      </c>
      <c r="V81" s="27">
        <f t="shared" si="41"/>
        <v>290</v>
      </c>
      <c r="W81" s="27">
        <f t="shared" si="41"/>
        <v>3480</v>
      </c>
      <c r="Y81" s="25">
        <f t="shared" si="36"/>
        <v>0</v>
      </c>
    </row>
    <row r="82" spans="1:25" x14ac:dyDescent="0.35">
      <c r="B82" s="5" t="s">
        <v>140</v>
      </c>
      <c r="C82" s="27">
        <f>SUM(C42,C63,C69,C76,C81)</f>
        <v>643087</v>
      </c>
      <c r="D82" s="27">
        <f t="shared" ref="D82:F82" si="42">SUM(D42,D63,D69,D76,D81)</f>
        <v>2625</v>
      </c>
      <c r="E82" s="27">
        <f t="shared" si="42"/>
        <v>90923</v>
      </c>
      <c r="F82" s="27">
        <f t="shared" si="42"/>
        <v>736635</v>
      </c>
      <c r="K82" s="27">
        <f t="shared" ref="K82:W82" si="43">SUM(K42,K63,K69,K76,K81)</f>
        <v>62880.189999999995</v>
      </c>
      <c r="L82" s="27">
        <f t="shared" si="43"/>
        <v>56493.51</v>
      </c>
      <c r="M82" s="27">
        <f t="shared" si="43"/>
        <v>52670.07</v>
      </c>
      <c r="N82" s="27">
        <f t="shared" si="43"/>
        <v>52708.39</v>
      </c>
      <c r="O82" s="27">
        <f t="shared" si="43"/>
        <v>53670.07</v>
      </c>
      <c r="P82" s="27">
        <f t="shared" si="43"/>
        <v>53408.39</v>
      </c>
      <c r="Q82" s="27">
        <f t="shared" si="43"/>
        <v>58028.689999999995</v>
      </c>
      <c r="R82" s="27">
        <f t="shared" si="43"/>
        <v>84443.010000000009</v>
      </c>
      <c r="S82" s="27">
        <f t="shared" si="43"/>
        <v>57177.689999999995</v>
      </c>
      <c r="T82" s="27">
        <f t="shared" si="43"/>
        <v>104249.01000000001</v>
      </c>
      <c r="U82" s="27">
        <f t="shared" si="43"/>
        <v>52803.689999999995</v>
      </c>
      <c r="V82" s="27">
        <f t="shared" si="43"/>
        <v>48102.29</v>
      </c>
      <c r="W82" s="27">
        <f t="shared" si="43"/>
        <v>736635</v>
      </c>
      <c r="Y82" s="25">
        <f t="shared" si="36"/>
        <v>0</v>
      </c>
    </row>
    <row r="83" spans="1:25" x14ac:dyDescent="0.35">
      <c r="B83" s="5" t="s">
        <v>141</v>
      </c>
      <c r="C83" s="27">
        <f>C37-C82</f>
        <v>-630687</v>
      </c>
      <c r="D83" s="27">
        <f t="shared" ref="D83:F83" si="44">D37-D82</f>
        <v>510859</v>
      </c>
      <c r="E83" s="27">
        <f t="shared" si="44"/>
        <v>67640.5</v>
      </c>
      <c r="F83" s="27">
        <f t="shared" si="44"/>
        <v>-52187.5</v>
      </c>
      <c r="K83" s="27">
        <f t="shared" ref="K83:W83" si="45">K37-K82</f>
        <v>-19475.064999933333</v>
      </c>
      <c r="L83" s="27">
        <f t="shared" si="45"/>
        <v>-5508.3849999333397</v>
      </c>
      <c r="M83" s="27">
        <f t="shared" si="45"/>
        <v>-9264.9449999333374</v>
      </c>
      <c r="N83" s="27">
        <f t="shared" si="45"/>
        <v>-9303.2649999333371</v>
      </c>
      <c r="O83" s="27">
        <f t="shared" si="45"/>
        <v>-3326.9449999333374</v>
      </c>
      <c r="P83" s="27">
        <f t="shared" si="45"/>
        <v>-5278.2649999333371</v>
      </c>
      <c r="Q83" s="27">
        <f t="shared" si="45"/>
        <v>-8158.5649999333327</v>
      </c>
      <c r="R83" s="27">
        <f t="shared" si="45"/>
        <v>-7912.884999933347</v>
      </c>
      <c r="S83" s="27">
        <f t="shared" si="45"/>
        <v>-11972.564999933333</v>
      </c>
      <c r="T83" s="27">
        <f t="shared" si="45"/>
        <v>30879.115000066668</v>
      </c>
      <c r="U83" s="27">
        <f t="shared" si="45"/>
        <v>-7168.5649999333327</v>
      </c>
      <c r="V83" s="27">
        <f t="shared" si="45"/>
        <v>4302.8350000666615</v>
      </c>
      <c r="W83" s="27">
        <f t="shared" si="45"/>
        <v>-52187.499999199994</v>
      </c>
      <c r="Y83" s="25">
        <f t="shared" si="36"/>
        <v>-8.0000609159469604E-7</v>
      </c>
    </row>
    <row r="84" spans="1:25" x14ac:dyDescent="0.35">
      <c r="B84" s="5" t="s">
        <v>142</v>
      </c>
      <c r="C84" s="22"/>
      <c r="D84" s="22"/>
      <c r="E84" s="22"/>
      <c r="F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Y84" s="25">
        <f t="shared" si="36"/>
        <v>0</v>
      </c>
    </row>
    <row r="85" spans="1:25" x14ac:dyDescent="0.35">
      <c r="A85" t="s">
        <v>0</v>
      </c>
      <c r="B85" s="5" t="s">
        <v>143</v>
      </c>
      <c r="C85" s="22"/>
      <c r="D85" s="22"/>
      <c r="E85" s="22"/>
      <c r="F85" s="23">
        <f t="shared" ref="F85:F89" si="46">SUM(C85:E85)</f>
        <v>0</v>
      </c>
      <c r="K85" s="23">
        <f>'[1]Admin by Month'!J85+'[1]Membership by Month'!J85+'[1]Education by Month'!J85</f>
        <v>0</v>
      </c>
      <c r="L85" s="23">
        <f>'[1]Admin by Month'!K85+'[1]Membership by Month'!K85+'[1]Education by Month'!K85</f>
        <v>0</v>
      </c>
      <c r="M85" s="23">
        <f>'[1]Admin by Month'!L85+'[1]Membership by Month'!L85+'[1]Education by Month'!L85</f>
        <v>0</v>
      </c>
      <c r="N85" s="23">
        <f>'[1]Admin by Month'!M85+'[1]Membership by Month'!M85+'[1]Education by Month'!M85</f>
        <v>0</v>
      </c>
      <c r="O85" s="23">
        <f>'[1]Admin by Month'!N85+'[1]Membership by Month'!N85+'[1]Education by Month'!N85</f>
        <v>0</v>
      </c>
      <c r="P85" s="23">
        <f>'[1]Admin by Month'!O85+'[1]Membership by Month'!O85+'[1]Education by Month'!O85</f>
        <v>0</v>
      </c>
      <c r="Q85" s="23">
        <f>'[1]Admin by Month'!P85+'[1]Membership by Month'!P85+'[1]Education by Month'!P85</f>
        <v>0</v>
      </c>
      <c r="R85" s="23">
        <f>'[1]Admin by Month'!Q85+'[1]Membership by Month'!Q85+'[1]Education by Month'!Q85</f>
        <v>0</v>
      </c>
      <c r="S85" s="23">
        <f>'[1]Admin by Month'!R85+'[1]Membership by Month'!R85+'[1]Education by Month'!R85</f>
        <v>0</v>
      </c>
      <c r="T85" s="23">
        <f>'[1]Admin by Month'!S85+'[1]Membership by Month'!S85+'[1]Education by Month'!S85</f>
        <v>0</v>
      </c>
      <c r="U85" s="23">
        <f>'[1]Admin by Month'!T85+'[1]Membership by Month'!T85+'[1]Education by Month'!T85</f>
        <v>0</v>
      </c>
      <c r="V85" s="23">
        <f>'[1]Admin by Month'!U85+'[1]Membership by Month'!U85+'[1]Education by Month'!U85</f>
        <v>0</v>
      </c>
      <c r="W85" s="23">
        <f t="shared" ref="W85:W89" si="47">SUM(K85:V85)</f>
        <v>0</v>
      </c>
      <c r="Y85" s="25">
        <f t="shared" si="36"/>
        <v>0</v>
      </c>
    </row>
    <row r="86" spans="1:25" x14ac:dyDescent="0.35">
      <c r="A86" t="s">
        <v>153</v>
      </c>
      <c r="B86" s="5" t="s">
        <v>235</v>
      </c>
      <c r="C86" s="24"/>
      <c r="D86" s="23"/>
      <c r="E86" s="23"/>
      <c r="F86" s="23">
        <f t="shared" si="46"/>
        <v>0</v>
      </c>
      <c r="K86" s="23">
        <f>'[1]Admin by Month'!J86+'[1]Membership by Month'!J86+'[1]Education by Month'!J86</f>
        <v>0</v>
      </c>
      <c r="L86" s="23">
        <f>'[1]Admin by Month'!K86+'[1]Membership by Month'!K86+'[1]Education by Month'!K86</f>
        <v>0</v>
      </c>
      <c r="M86" s="23">
        <f>'[1]Admin by Month'!L86+'[1]Membership by Month'!L86+'[1]Education by Month'!L86</f>
        <v>0</v>
      </c>
      <c r="N86" s="23">
        <f>'[1]Admin by Month'!M86+'[1]Membership by Month'!M86+'[1]Education by Month'!M86</f>
        <v>0</v>
      </c>
      <c r="O86" s="23">
        <f>'[1]Admin by Month'!N86+'[1]Membership by Month'!N86+'[1]Education by Month'!N86</f>
        <v>0</v>
      </c>
      <c r="P86" s="23">
        <f>'[1]Admin by Month'!O86+'[1]Membership by Month'!O86+'[1]Education by Month'!O86</f>
        <v>0</v>
      </c>
      <c r="Q86" s="23">
        <f>'[1]Admin by Month'!P86+'[1]Membership by Month'!P86+'[1]Education by Month'!P86</f>
        <v>0</v>
      </c>
      <c r="R86" s="23">
        <f>'[1]Admin by Month'!Q86+'[1]Membership by Month'!Q86+'[1]Education by Month'!Q86</f>
        <v>0</v>
      </c>
      <c r="S86" s="23">
        <f>'[1]Admin by Month'!R86+'[1]Membership by Month'!R86+'[1]Education by Month'!R86</f>
        <v>0</v>
      </c>
      <c r="T86" s="23">
        <f>'[1]Admin by Month'!S86+'[1]Membership by Month'!S86+'[1]Education by Month'!S86</f>
        <v>0</v>
      </c>
      <c r="U86" s="23">
        <f>'[1]Admin by Month'!T86+'[1]Membership by Month'!T86+'[1]Education by Month'!T86</f>
        <v>0</v>
      </c>
      <c r="V86" s="23">
        <f>'[1]Admin by Month'!U86+'[1]Membership by Month'!U86+'[1]Education by Month'!U86</f>
        <v>0</v>
      </c>
      <c r="W86" s="23">
        <f t="shared" si="47"/>
        <v>0</v>
      </c>
      <c r="Y86" s="25">
        <f t="shared" si="36"/>
        <v>0</v>
      </c>
    </row>
    <row r="87" spans="1:25" x14ac:dyDescent="0.35">
      <c r="A87" t="s">
        <v>154</v>
      </c>
      <c r="B87" s="5" t="s">
        <v>236</v>
      </c>
      <c r="C87" s="23"/>
      <c r="D87" s="23"/>
      <c r="E87" s="23"/>
      <c r="F87" s="23">
        <f t="shared" si="46"/>
        <v>0</v>
      </c>
      <c r="K87" s="23">
        <f>'[1]Admin by Month'!J87+'[1]Membership by Month'!J87+'[1]Education by Month'!J87</f>
        <v>0</v>
      </c>
      <c r="L87" s="23">
        <f>'[1]Admin by Month'!K87+'[1]Membership by Month'!K87+'[1]Education by Month'!K87</f>
        <v>0</v>
      </c>
      <c r="M87" s="23">
        <f>'[1]Admin by Month'!L87+'[1]Membership by Month'!L87+'[1]Education by Month'!L87</f>
        <v>0</v>
      </c>
      <c r="N87" s="23">
        <f>'[1]Admin by Month'!M87+'[1]Membership by Month'!M87+'[1]Education by Month'!M87</f>
        <v>0</v>
      </c>
      <c r="O87" s="23">
        <f>'[1]Admin by Month'!N87+'[1]Membership by Month'!N87+'[1]Education by Month'!N87</f>
        <v>0</v>
      </c>
      <c r="P87" s="23">
        <f>'[1]Admin by Month'!O87+'[1]Membership by Month'!O87+'[1]Education by Month'!O87</f>
        <v>0</v>
      </c>
      <c r="Q87" s="23">
        <f>'[1]Admin by Month'!P87+'[1]Membership by Month'!P87+'[1]Education by Month'!P87</f>
        <v>0</v>
      </c>
      <c r="R87" s="23">
        <f>'[1]Admin by Month'!Q87+'[1]Membership by Month'!Q87+'[1]Education by Month'!Q87</f>
        <v>0</v>
      </c>
      <c r="S87" s="23">
        <f>'[1]Admin by Month'!R87+'[1]Membership by Month'!R87+'[1]Education by Month'!R87</f>
        <v>0</v>
      </c>
      <c r="T87" s="23">
        <f>'[1]Admin by Month'!S87+'[1]Membership by Month'!S87+'[1]Education by Month'!S87</f>
        <v>0</v>
      </c>
      <c r="U87" s="23">
        <f>'[1]Admin by Month'!T87+'[1]Membership by Month'!T87+'[1]Education by Month'!T87</f>
        <v>0</v>
      </c>
      <c r="V87" s="23">
        <f>'[1]Admin by Month'!U87+'[1]Membership by Month'!U87+'[1]Education by Month'!U87</f>
        <v>0</v>
      </c>
      <c r="W87" s="23">
        <f t="shared" si="47"/>
        <v>0</v>
      </c>
      <c r="Y87" s="25">
        <f t="shared" si="36"/>
        <v>0</v>
      </c>
    </row>
    <row r="88" spans="1:25" x14ac:dyDescent="0.35">
      <c r="A88" t="s">
        <v>153</v>
      </c>
      <c r="B88" s="5" t="s">
        <v>237</v>
      </c>
      <c r="C88" s="24">
        <v>22500</v>
      </c>
      <c r="D88" s="22"/>
      <c r="E88" s="22"/>
      <c r="F88" s="23">
        <f t="shared" si="46"/>
        <v>22500</v>
      </c>
      <c r="K88" s="23">
        <f>'[1]Admin by Month'!J88+'[1]Membership by Month'!J88+'[1]Education by Month'!J88</f>
        <v>1875</v>
      </c>
      <c r="L88" s="23">
        <f>'[1]Admin by Month'!K88+'[1]Membership by Month'!K88+'[1]Education by Month'!K88</f>
        <v>1875</v>
      </c>
      <c r="M88" s="23">
        <f>'[1]Admin by Month'!L88+'[1]Membership by Month'!L88+'[1]Education by Month'!L88</f>
        <v>1875</v>
      </c>
      <c r="N88" s="23">
        <f>'[1]Admin by Month'!M88+'[1]Membership by Month'!M88+'[1]Education by Month'!M88</f>
        <v>1875</v>
      </c>
      <c r="O88" s="23">
        <f>'[1]Admin by Month'!N88+'[1]Membership by Month'!N88+'[1]Education by Month'!N88</f>
        <v>1875</v>
      </c>
      <c r="P88" s="23">
        <f>'[1]Admin by Month'!O88+'[1]Membership by Month'!O88+'[1]Education by Month'!O88</f>
        <v>1875</v>
      </c>
      <c r="Q88" s="23">
        <f>'[1]Admin by Month'!P88+'[1]Membership by Month'!P88+'[1]Education by Month'!P88</f>
        <v>1875</v>
      </c>
      <c r="R88" s="23">
        <f>'[1]Admin by Month'!Q88+'[1]Membership by Month'!Q88+'[1]Education by Month'!Q88</f>
        <v>1875</v>
      </c>
      <c r="S88" s="23">
        <f>'[1]Admin by Month'!R88+'[1]Membership by Month'!R88+'[1]Education by Month'!R88</f>
        <v>1875</v>
      </c>
      <c r="T88" s="23">
        <f>'[1]Admin by Month'!S88+'[1]Membership by Month'!S88+'[1]Education by Month'!S88</f>
        <v>1875</v>
      </c>
      <c r="U88" s="23">
        <f>'[1]Admin by Month'!T88+'[1]Membership by Month'!T88+'[1]Education by Month'!T88</f>
        <v>1875</v>
      </c>
      <c r="V88" s="23">
        <f>'[1]Admin by Month'!U88+'[1]Membership by Month'!U88+'[1]Education by Month'!U88</f>
        <v>1875</v>
      </c>
      <c r="W88" s="23">
        <f t="shared" si="47"/>
        <v>22500</v>
      </c>
      <c r="Y88" s="25">
        <f t="shared" si="36"/>
        <v>0</v>
      </c>
    </row>
    <row r="89" spans="1:25" x14ac:dyDescent="0.35">
      <c r="A89" t="s">
        <v>153</v>
      </c>
      <c r="B89" s="5" t="s">
        <v>238</v>
      </c>
      <c r="C89" s="23"/>
      <c r="D89" s="23"/>
      <c r="E89" s="23"/>
      <c r="F89" s="23">
        <f t="shared" si="46"/>
        <v>0</v>
      </c>
      <c r="K89" s="23">
        <f>'[1]Admin by Month'!J89+'[1]Membership by Month'!J89+'[1]Education by Month'!J89</f>
        <v>0</v>
      </c>
      <c r="L89" s="23">
        <f>'[1]Admin by Month'!K89+'[1]Membership by Month'!K89+'[1]Education by Month'!K89</f>
        <v>0</v>
      </c>
      <c r="M89" s="23">
        <f>'[1]Admin by Month'!L89+'[1]Membership by Month'!L89+'[1]Education by Month'!L89</f>
        <v>0</v>
      </c>
      <c r="N89" s="23">
        <f>'[1]Admin by Month'!M89+'[1]Membership by Month'!M89+'[1]Education by Month'!M89</f>
        <v>0</v>
      </c>
      <c r="O89" s="23">
        <f>'[1]Admin by Month'!N89+'[1]Membership by Month'!N89+'[1]Education by Month'!N89</f>
        <v>0</v>
      </c>
      <c r="P89" s="23">
        <f>'[1]Admin by Month'!O89+'[1]Membership by Month'!O89+'[1]Education by Month'!O89</f>
        <v>0</v>
      </c>
      <c r="Q89" s="23">
        <f>'[1]Admin by Month'!P89+'[1]Membership by Month'!P89+'[1]Education by Month'!P89</f>
        <v>0</v>
      </c>
      <c r="R89" s="23">
        <f>'[1]Admin by Month'!Q89+'[1]Membership by Month'!Q89+'[1]Education by Month'!Q89</f>
        <v>0</v>
      </c>
      <c r="S89" s="23">
        <f>'[1]Admin by Month'!R89+'[1]Membership by Month'!R89+'[1]Education by Month'!R89</f>
        <v>0</v>
      </c>
      <c r="T89" s="23">
        <f>'[1]Admin by Month'!S89+'[1]Membership by Month'!S89+'[1]Education by Month'!S89</f>
        <v>0</v>
      </c>
      <c r="U89" s="23">
        <f>'[1]Admin by Month'!T89+'[1]Membership by Month'!T89+'[1]Education by Month'!T89</f>
        <v>0</v>
      </c>
      <c r="V89" s="23">
        <f>'[1]Admin by Month'!U89+'[1]Membership by Month'!U89+'[1]Education by Month'!U89</f>
        <v>0</v>
      </c>
      <c r="W89" s="23">
        <f t="shared" si="47"/>
        <v>0</v>
      </c>
      <c r="Y89" s="25">
        <f t="shared" si="36"/>
        <v>0</v>
      </c>
    </row>
    <row r="90" spans="1:25" x14ac:dyDescent="0.35">
      <c r="B90" s="5" t="s">
        <v>144</v>
      </c>
      <c r="C90" s="27">
        <f>SUM(C84:C89)</f>
        <v>22500</v>
      </c>
      <c r="D90" s="27">
        <f t="shared" ref="D90:F90" si="48">SUM(D84:D89)</f>
        <v>0</v>
      </c>
      <c r="E90" s="27">
        <f t="shared" si="48"/>
        <v>0</v>
      </c>
      <c r="F90" s="27">
        <f t="shared" si="48"/>
        <v>22500</v>
      </c>
      <c r="K90" s="27">
        <f t="shared" ref="K90:W90" si="49">SUM(K84:K89)</f>
        <v>1875</v>
      </c>
      <c r="L90" s="27">
        <f t="shared" si="49"/>
        <v>1875</v>
      </c>
      <c r="M90" s="27">
        <f t="shared" si="49"/>
        <v>1875</v>
      </c>
      <c r="N90" s="27">
        <f t="shared" si="49"/>
        <v>1875</v>
      </c>
      <c r="O90" s="27">
        <f t="shared" si="49"/>
        <v>1875</v>
      </c>
      <c r="P90" s="27">
        <f t="shared" si="49"/>
        <v>1875</v>
      </c>
      <c r="Q90" s="27">
        <f t="shared" si="49"/>
        <v>1875</v>
      </c>
      <c r="R90" s="27">
        <f t="shared" si="49"/>
        <v>1875</v>
      </c>
      <c r="S90" s="27">
        <f t="shared" si="49"/>
        <v>1875</v>
      </c>
      <c r="T90" s="27">
        <f t="shared" si="49"/>
        <v>1875</v>
      </c>
      <c r="U90" s="27">
        <f t="shared" si="49"/>
        <v>1875</v>
      </c>
      <c r="V90" s="27">
        <f t="shared" si="49"/>
        <v>1875</v>
      </c>
      <c r="W90" s="27">
        <f t="shared" si="49"/>
        <v>22500</v>
      </c>
      <c r="Y90" s="25">
        <f t="shared" si="36"/>
        <v>0</v>
      </c>
    </row>
    <row r="91" spans="1:25" x14ac:dyDescent="0.35">
      <c r="B91" s="5" t="s">
        <v>145</v>
      </c>
      <c r="C91" s="22"/>
      <c r="D91" s="22"/>
      <c r="E91" s="22"/>
      <c r="F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Y91" s="25">
        <f t="shared" si="36"/>
        <v>0</v>
      </c>
    </row>
    <row r="92" spans="1:25" x14ac:dyDescent="0.35">
      <c r="A92" t="s">
        <v>135</v>
      </c>
      <c r="B92" s="5" t="s">
        <v>240</v>
      </c>
      <c r="C92" s="22"/>
      <c r="D92" s="22"/>
      <c r="E92" s="22"/>
      <c r="F92" s="23">
        <f t="shared" ref="F92:F93" si="50">SUM(C92:E92)</f>
        <v>0</v>
      </c>
      <c r="K92" s="23">
        <f>'[1]Admin by Month'!J92+'[1]Membership by Month'!J92+'[1]Education by Month'!J92</f>
        <v>0</v>
      </c>
      <c r="L92" s="23">
        <f>'[1]Admin by Month'!K92+'[1]Membership by Month'!K92+'[1]Education by Month'!K92</f>
        <v>0</v>
      </c>
      <c r="M92" s="23">
        <f>'[1]Admin by Month'!L92+'[1]Membership by Month'!L92+'[1]Education by Month'!L92</f>
        <v>0</v>
      </c>
      <c r="N92" s="23">
        <f>'[1]Admin by Month'!M92+'[1]Membership by Month'!M92+'[1]Education by Month'!M92</f>
        <v>0</v>
      </c>
      <c r="O92" s="23">
        <f>'[1]Admin by Month'!N92+'[1]Membership by Month'!N92+'[1]Education by Month'!N92</f>
        <v>0</v>
      </c>
      <c r="P92" s="23">
        <f>'[1]Admin by Month'!O92+'[1]Membership by Month'!O92+'[1]Education by Month'!O92</f>
        <v>0</v>
      </c>
      <c r="Q92" s="23">
        <f>'[1]Admin by Month'!P92+'[1]Membership by Month'!P92+'[1]Education by Month'!P92</f>
        <v>0</v>
      </c>
      <c r="R92" s="23">
        <f>'[1]Admin by Month'!Q92+'[1]Membership by Month'!Q92+'[1]Education by Month'!Q92</f>
        <v>0</v>
      </c>
      <c r="S92" s="23">
        <f>'[1]Admin by Month'!R92+'[1]Membership by Month'!R92+'[1]Education by Month'!R92</f>
        <v>0</v>
      </c>
      <c r="T92" s="23">
        <f>'[1]Admin by Month'!S92+'[1]Membership by Month'!S92+'[1]Education by Month'!S92</f>
        <v>0</v>
      </c>
      <c r="U92" s="23">
        <f>'[1]Admin by Month'!T92+'[1]Membership by Month'!T92+'[1]Education by Month'!T92</f>
        <v>0</v>
      </c>
      <c r="V92" s="23">
        <f>'[1]Admin by Month'!U92+'[1]Membership by Month'!U92+'[1]Education by Month'!U92</f>
        <v>0</v>
      </c>
      <c r="W92" s="23">
        <f t="shared" ref="W92:W93" si="51">SUM(K92:V92)</f>
        <v>0</v>
      </c>
      <c r="Y92" s="25">
        <f t="shared" si="36"/>
        <v>0</v>
      </c>
    </row>
    <row r="93" spans="1:25" x14ac:dyDescent="0.35">
      <c r="A93" t="s">
        <v>254</v>
      </c>
      <c r="B93" s="5" t="s">
        <v>239</v>
      </c>
      <c r="C93" s="24">
        <v>1000</v>
      </c>
      <c r="D93" s="24">
        <v>0</v>
      </c>
      <c r="E93" s="24">
        <v>0</v>
      </c>
      <c r="F93" s="23">
        <f t="shared" si="50"/>
        <v>1000</v>
      </c>
      <c r="K93" s="23">
        <f>'[1]Admin by Month'!J93+'[1]Membership by Month'!J93+'[1]Education by Month'!J93</f>
        <v>0</v>
      </c>
      <c r="L93" s="23">
        <f>'[1]Admin by Month'!K93+'[1]Membership by Month'!K93+'[1]Education by Month'!K93</f>
        <v>0</v>
      </c>
      <c r="M93" s="23">
        <f>'[1]Admin by Month'!L93+'[1]Membership by Month'!L93+'[1]Education by Month'!L93</f>
        <v>0</v>
      </c>
      <c r="N93" s="23">
        <f>'[1]Admin by Month'!M93+'[1]Membership by Month'!M93+'[1]Education by Month'!M93</f>
        <v>0</v>
      </c>
      <c r="O93" s="23">
        <f>'[1]Admin by Month'!N93+'[1]Membership by Month'!N93+'[1]Education by Month'!N93</f>
        <v>0</v>
      </c>
      <c r="P93" s="23">
        <f>'[1]Admin by Month'!O93+'[1]Membership by Month'!O93+'[1]Education by Month'!O93</f>
        <v>0</v>
      </c>
      <c r="Q93" s="23">
        <f>'[1]Admin by Month'!P93+'[1]Membership by Month'!P93+'[1]Education by Month'!P93</f>
        <v>0</v>
      </c>
      <c r="R93" s="23">
        <f>'[1]Admin by Month'!Q93+'[1]Membership by Month'!Q93+'[1]Education by Month'!Q93</f>
        <v>0</v>
      </c>
      <c r="S93" s="23">
        <f>'[1]Admin by Month'!R93+'[1]Membership by Month'!R93+'[1]Education by Month'!R93</f>
        <v>0</v>
      </c>
      <c r="T93" s="23">
        <f>'[1]Admin by Month'!S93+'[1]Membership by Month'!S93+'[1]Education by Month'!S93</f>
        <v>1000</v>
      </c>
      <c r="U93" s="23">
        <f>'[1]Admin by Month'!T93+'[1]Membership by Month'!T93+'[1]Education by Month'!T93</f>
        <v>0</v>
      </c>
      <c r="V93" s="23">
        <f>'[1]Admin by Month'!U93+'[1]Membership by Month'!U93+'[1]Education by Month'!U93</f>
        <v>0</v>
      </c>
      <c r="W93" s="23">
        <f t="shared" si="51"/>
        <v>1000</v>
      </c>
      <c r="Y93" s="25">
        <f t="shared" si="36"/>
        <v>0</v>
      </c>
    </row>
    <row r="94" spans="1:25" x14ac:dyDescent="0.35">
      <c r="B94" s="5" t="s">
        <v>146</v>
      </c>
      <c r="C94" s="27">
        <f>SUM(C91:C93)</f>
        <v>1000</v>
      </c>
      <c r="D94" s="27">
        <f t="shared" ref="D94:F94" si="52">SUM(D91:D93)</f>
        <v>0</v>
      </c>
      <c r="E94" s="27">
        <f>SUM(E91:E93)</f>
        <v>0</v>
      </c>
      <c r="F94" s="27">
        <f t="shared" si="52"/>
        <v>1000</v>
      </c>
      <c r="G94" s="31"/>
      <c r="H94" s="31"/>
      <c r="K94" s="27">
        <f t="shared" ref="K94:W94" si="53">SUM(K91:K93)</f>
        <v>0</v>
      </c>
      <c r="L94" s="27">
        <f t="shared" si="53"/>
        <v>0</v>
      </c>
      <c r="M94" s="27">
        <f t="shared" si="53"/>
        <v>0</v>
      </c>
      <c r="N94" s="27">
        <f t="shared" si="53"/>
        <v>0</v>
      </c>
      <c r="O94" s="27">
        <f t="shared" si="53"/>
        <v>0</v>
      </c>
      <c r="P94" s="27">
        <f t="shared" si="53"/>
        <v>0</v>
      </c>
      <c r="Q94" s="27">
        <f t="shared" si="53"/>
        <v>0</v>
      </c>
      <c r="R94" s="27">
        <f t="shared" si="53"/>
        <v>0</v>
      </c>
      <c r="S94" s="27">
        <f t="shared" si="53"/>
        <v>0</v>
      </c>
      <c r="T94" s="27">
        <f t="shared" si="53"/>
        <v>1000</v>
      </c>
      <c r="U94" s="27">
        <f t="shared" si="53"/>
        <v>0</v>
      </c>
      <c r="V94" s="27">
        <f t="shared" si="53"/>
        <v>0</v>
      </c>
      <c r="W94" s="27">
        <f t="shared" si="53"/>
        <v>1000</v>
      </c>
      <c r="Y94" s="25">
        <f t="shared" si="36"/>
        <v>0</v>
      </c>
    </row>
    <row r="95" spans="1:25" x14ac:dyDescent="0.35">
      <c r="B95" s="5" t="s">
        <v>147</v>
      </c>
      <c r="C95" s="27">
        <f>C90-C94</f>
        <v>21500</v>
      </c>
      <c r="D95" s="27">
        <f t="shared" ref="D95:F95" si="54">D90-D94</f>
        <v>0</v>
      </c>
      <c r="E95" s="27">
        <f t="shared" si="54"/>
        <v>0</v>
      </c>
      <c r="F95" s="27">
        <f t="shared" si="54"/>
        <v>21500</v>
      </c>
      <c r="K95" s="27">
        <f t="shared" ref="K95:W95" si="55">K90-K94</f>
        <v>1875</v>
      </c>
      <c r="L95" s="27">
        <f t="shared" si="55"/>
        <v>1875</v>
      </c>
      <c r="M95" s="27">
        <f t="shared" si="55"/>
        <v>1875</v>
      </c>
      <c r="N95" s="27">
        <f t="shared" si="55"/>
        <v>1875</v>
      </c>
      <c r="O95" s="27">
        <f t="shared" si="55"/>
        <v>1875</v>
      </c>
      <c r="P95" s="27">
        <f t="shared" si="55"/>
        <v>1875</v>
      </c>
      <c r="Q95" s="27">
        <f t="shared" si="55"/>
        <v>1875</v>
      </c>
      <c r="R95" s="27">
        <f t="shared" si="55"/>
        <v>1875</v>
      </c>
      <c r="S95" s="27">
        <f t="shared" si="55"/>
        <v>1875</v>
      </c>
      <c r="T95" s="27">
        <f t="shared" si="55"/>
        <v>875</v>
      </c>
      <c r="U95" s="27">
        <f t="shared" si="55"/>
        <v>1875</v>
      </c>
      <c r="V95" s="27">
        <f t="shared" si="55"/>
        <v>1875</v>
      </c>
      <c r="W95" s="27">
        <f t="shared" si="55"/>
        <v>21500</v>
      </c>
      <c r="Y95" s="25">
        <f t="shared" si="36"/>
        <v>0</v>
      </c>
    </row>
    <row r="96" spans="1:25" ht="15" thickBot="1" x14ac:dyDescent="0.4">
      <c r="B96" s="5" t="s">
        <v>148</v>
      </c>
      <c r="C96" s="32">
        <f>SUM(C83,C95)</f>
        <v>-609187</v>
      </c>
      <c r="D96" s="32">
        <f t="shared" ref="D96:F96" si="56">SUM(D83,D95)</f>
        <v>510859</v>
      </c>
      <c r="E96" s="32">
        <f t="shared" si="56"/>
        <v>67640.5</v>
      </c>
      <c r="F96" s="32">
        <f t="shared" si="56"/>
        <v>-30687.5</v>
      </c>
      <c r="K96" s="32">
        <f t="shared" ref="K96:W96" si="57">SUM(K83,K95)</f>
        <v>-17600.064999933333</v>
      </c>
      <c r="L96" s="32">
        <f t="shared" si="57"/>
        <v>-3633.3849999333397</v>
      </c>
      <c r="M96" s="32">
        <f t="shared" si="57"/>
        <v>-7389.9449999333374</v>
      </c>
      <c r="N96" s="32">
        <f t="shared" si="57"/>
        <v>-7428.2649999333371</v>
      </c>
      <c r="O96" s="32">
        <f t="shared" si="57"/>
        <v>-1451.9449999333374</v>
      </c>
      <c r="P96" s="32">
        <f t="shared" si="57"/>
        <v>-3403.2649999333371</v>
      </c>
      <c r="Q96" s="32">
        <f t="shared" si="57"/>
        <v>-6283.5649999333327</v>
      </c>
      <c r="R96" s="32">
        <f t="shared" si="57"/>
        <v>-6037.884999933347</v>
      </c>
      <c r="S96" s="32">
        <f t="shared" si="57"/>
        <v>-10097.564999933333</v>
      </c>
      <c r="T96" s="32">
        <f t="shared" si="57"/>
        <v>31754.115000066668</v>
      </c>
      <c r="U96" s="32">
        <f t="shared" si="57"/>
        <v>-5293.5649999333327</v>
      </c>
      <c r="V96" s="32">
        <f t="shared" si="57"/>
        <v>6177.8350000666615</v>
      </c>
      <c r="W96" s="32">
        <f t="shared" si="57"/>
        <v>-30687.499999199994</v>
      </c>
      <c r="Y96" s="25">
        <f t="shared" si="36"/>
        <v>-8.0000609159469604E-7</v>
      </c>
    </row>
    <row r="97" spans="2:6" ht="15" thickTop="1" x14ac:dyDescent="0.35">
      <c r="B97" s="5"/>
      <c r="C97" s="22"/>
      <c r="D97" s="22"/>
      <c r="E97" s="22"/>
      <c r="F97" s="22"/>
    </row>
    <row r="100" spans="2:6" x14ac:dyDescent="0.35">
      <c r="B100" s="33"/>
      <c r="C100"/>
      <c r="D100"/>
      <c r="E100"/>
      <c r="F100"/>
    </row>
  </sheetData>
  <mergeCells count="1">
    <mergeCell ref="K4:W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577e7d-b316-4dc8-bc1e-48c98e6916c9" xsi:nil="true"/>
    <QuickAccess xmlns="12492aaf-255c-4cda-84a0-c4f9a9af1f5b" xsi:nil="true"/>
    <lcf76f155ced4ddcb4097134ff3c332f xmlns="12492aaf-255c-4cda-84a0-c4f9a9af1f5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CAD360B94982478FE7BEE7E574B1D6" ma:contentTypeVersion="20" ma:contentTypeDescription="Create a new document." ma:contentTypeScope="" ma:versionID="3441528b9483e7f03ef0b2ab56b4f155">
  <xsd:schema xmlns:xsd="http://www.w3.org/2001/XMLSchema" xmlns:xs="http://www.w3.org/2001/XMLSchema" xmlns:p="http://schemas.microsoft.com/office/2006/metadata/properties" xmlns:ns2="12492aaf-255c-4cda-84a0-c4f9a9af1f5b" xmlns:ns3="8f577e7d-b316-4dc8-bc1e-48c98e6916c9" targetNamespace="http://schemas.microsoft.com/office/2006/metadata/properties" ma:root="true" ma:fieldsID="279ea99c520cf7d7c4d3803c9f70ce82" ns2:_="" ns3:_="">
    <xsd:import namespace="12492aaf-255c-4cda-84a0-c4f9a9af1f5b"/>
    <xsd:import namespace="8f577e7d-b316-4dc8-bc1e-48c98e6916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QuickAcces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92aaf-255c-4cda-84a0-c4f9a9af1f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QuickAccess" ma:index="21" nillable="true" ma:displayName="Quick Access" ma:format="Dropdown" ma:internalName="QuickAcces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ducation"/>
                    <xsd:enumeration value="Communications"/>
                    <xsd:enumeration value="Regulatory"/>
                    <xsd:enumeration value="Executive"/>
                    <xsd:enumeration value="Administrative"/>
                  </xsd:restriction>
                </xsd:simpleType>
              </xsd:element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b7f72e9-c636-414a-839e-9f0dd5fe58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7e7d-b316-4dc8-bc1e-48c98e6916c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0d6491c-c88c-42e9-80a1-b05f1e7e82e5}" ma:internalName="TaxCatchAll" ma:showField="CatchAllData" ma:web="8f577e7d-b316-4dc8-bc1e-48c98e691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0E8C71-1B41-4F4A-9BBF-18FBFDDAB1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906A0D-5449-4206-B7A4-198C95DAE9B6}">
  <ds:schemaRefs>
    <ds:schemaRef ds:uri="http://schemas.microsoft.com/office/2006/metadata/properties"/>
    <ds:schemaRef ds:uri="http://schemas.microsoft.com/office/infopath/2007/PartnerControls"/>
    <ds:schemaRef ds:uri="1ad02805-aa20-4564-9851-a6038a6fefc5"/>
    <ds:schemaRef ds:uri="1c59c944-bbf2-4a5a-9f8a-582341337d8d"/>
    <ds:schemaRef ds:uri="ef6304c6-05e9-4355-ba5a-c27016995296"/>
    <ds:schemaRef ds:uri="a9c15b91-b72c-4f0d-b996-f844037014a9"/>
    <ds:schemaRef ds:uri="8f577e7d-b316-4dc8-bc1e-48c98e6916c9"/>
    <ds:schemaRef ds:uri="12492aaf-255c-4cda-84a0-c4f9a9af1f5b"/>
  </ds:schemaRefs>
</ds:datastoreItem>
</file>

<file path=customXml/itemProps3.xml><?xml version="1.0" encoding="utf-8"?>
<ds:datastoreItem xmlns:ds="http://schemas.openxmlformats.org/officeDocument/2006/customXml" ds:itemID="{AD48A40E-F46E-4D81-B503-B392943EA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92aaf-255c-4cda-84a0-c4f9a9af1f5b"/>
    <ds:schemaRef ds:uri="8f577e7d-b316-4dc8-bc1e-48c98e6916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vs. Actuals Totals</vt:lpstr>
      <vt:lpstr>Balance Sheet</vt:lpstr>
      <vt:lpstr>Profit and Loss by Month</vt:lpstr>
      <vt:lpstr>Full Year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Kathy Messerli</cp:lastModifiedBy>
  <cp:revision/>
  <cp:lastPrinted>2023-09-29T20:34:02Z</cp:lastPrinted>
  <dcterms:created xsi:type="dcterms:W3CDTF">2022-09-14T01:52:40Z</dcterms:created>
  <dcterms:modified xsi:type="dcterms:W3CDTF">2024-09-22T02:46:31Z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0x0101006DCAD360B94982478FE7BEE7E574B1D6</vt:lpwstr>
  </property>
  <property fmtid="{D5CDD505-2E9C-101B-9397-08002B2CF9AE}" pid="3" name="MediaServiceImageTags">
    <vt:lpwstr/>
  </property>
</Properties>
</file>