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geconnect.sharepoint.com/sites/MinnesotaHomeCareAssociation/Shared Documents/MHCA/Confidential/Financials/2024/2024.05/"/>
    </mc:Choice>
  </mc:AlternateContent>
  <xr:revisionPtr revIDLastSave="49" documentId="8_{C1DA1F86-699C-4062-B75A-1DE88D78063A}" xr6:coauthVersionLast="47" xr6:coauthVersionMax="47" xr10:uidLastSave="{C3901A5E-A284-4FAD-9A31-5F72119E2C17}"/>
  <bookViews>
    <workbookView xWindow="28680" yWindow="15" windowWidth="29040" windowHeight="15840" tabRatio="862" activeTab="1" xr2:uid="{BC9A688E-0027-40DD-91BF-589452B07514}"/>
  </bookViews>
  <sheets>
    <sheet name="Key" sheetId="8" r:id="rId1"/>
    <sheet name="Dashboard" sheetId="5" r:id="rId2"/>
    <sheet name="Budget vs. Actuals Totals" sheetId="2" r:id="rId3"/>
    <sheet name="Balance Sheet" sheetId="3" r:id="rId4"/>
    <sheet name="Profit and Loss by Month" sheetId="10" state="hidden" r:id="rId5"/>
    <sheet name="Budget vs. Actuals by Month" sheetId="4" r:id="rId6"/>
    <sheet name="P&amp;L by Month" sheetId="16" r:id="rId7"/>
    <sheet name="Profit and Loss by Class" sheetId="12" r:id="rId8"/>
    <sheet name="Actual vs. Prior Year" sheetId="17" r:id="rId9"/>
    <sheet name="Full Year Budget" sheetId="14" r:id="rId10"/>
  </sheets>
  <externalReferences>
    <externalReference r:id="rId1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4" i="17" l="1"/>
  <c r="F84" i="17" s="1"/>
  <c r="F83" i="17"/>
  <c r="E83" i="17"/>
  <c r="C83" i="17"/>
  <c r="C84" i="17" s="1"/>
  <c r="E84" i="17" s="1"/>
  <c r="D80" i="17"/>
  <c r="F80" i="17" s="1"/>
  <c r="C80" i="17"/>
  <c r="E80" i="17" s="1"/>
  <c r="F79" i="17"/>
  <c r="D79" i="17"/>
  <c r="C79" i="17"/>
  <c r="E79" i="17" s="1"/>
  <c r="D78" i="17"/>
  <c r="D81" i="17" s="1"/>
  <c r="C78" i="17"/>
  <c r="C81" i="17" s="1"/>
  <c r="D73" i="17"/>
  <c r="F73" i="17" s="1"/>
  <c r="C73" i="17"/>
  <c r="E73" i="17" s="1"/>
  <c r="F72" i="17"/>
  <c r="D72" i="17"/>
  <c r="E72" i="17" s="1"/>
  <c r="D71" i="17"/>
  <c r="F71" i="17" s="1"/>
  <c r="C71" i="17"/>
  <c r="E71" i="17" s="1"/>
  <c r="F70" i="17"/>
  <c r="E70" i="17"/>
  <c r="D70" i="17"/>
  <c r="C70" i="17"/>
  <c r="D69" i="17"/>
  <c r="F69" i="17" s="1"/>
  <c r="C69" i="17"/>
  <c r="E69" i="17" s="1"/>
  <c r="F68" i="17"/>
  <c r="E68" i="17"/>
  <c r="D68" i="17"/>
  <c r="C68" i="17"/>
  <c r="D67" i="17"/>
  <c r="F67" i="17" s="1"/>
  <c r="C67" i="17"/>
  <c r="E67" i="17" s="1"/>
  <c r="F66" i="17"/>
  <c r="E66" i="17"/>
  <c r="D66" i="17"/>
  <c r="C66" i="17"/>
  <c r="D65" i="17"/>
  <c r="F65" i="17" s="1"/>
  <c r="D64" i="17"/>
  <c r="F64" i="17" s="1"/>
  <c r="C64" i="17"/>
  <c r="D63" i="17"/>
  <c r="C63" i="17"/>
  <c r="F63" i="17" s="1"/>
  <c r="D62" i="17"/>
  <c r="F62" i="17" s="1"/>
  <c r="C62" i="17"/>
  <c r="D61" i="17"/>
  <c r="D74" i="17" s="1"/>
  <c r="C61" i="17"/>
  <c r="F61" i="17" s="1"/>
  <c r="F60" i="17"/>
  <c r="E60" i="17"/>
  <c r="D58" i="17"/>
  <c r="F58" i="17" s="1"/>
  <c r="C58" i="17"/>
  <c r="E58" i="17" s="1"/>
  <c r="F57" i="17"/>
  <c r="D57" i="17"/>
  <c r="C57" i="17"/>
  <c r="E57" i="17" s="1"/>
  <c r="D56" i="17"/>
  <c r="D59" i="17" s="1"/>
  <c r="D54" i="17"/>
  <c r="F54" i="17" s="1"/>
  <c r="C54" i="17"/>
  <c r="E54" i="17" s="1"/>
  <c r="F53" i="17"/>
  <c r="E53" i="17"/>
  <c r="D53" i="17"/>
  <c r="C53" i="17"/>
  <c r="D52" i="17"/>
  <c r="F52" i="17" s="1"/>
  <c r="C52" i="17"/>
  <c r="E52" i="17" s="1"/>
  <c r="F51" i="17"/>
  <c r="E51" i="17"/>
  <c r="D51" i="17"/>
  <c r="D55" i="17" s="1"/>
  <c r="C51" i="17"/>
  <c r="C55" i="17" s="1"/>
  <c r="E55" i="17" s="1"/>
  <c r="F50" i="17"/>
  <c r="E50" i="17"/>
  <c r="C49" i="17"/>
  <c r="E48" i="17"/>
  <c r="D48" i="17"/>
  <c r="F48" i="17" s="1"/>
  <c r="D47" i="17"/>
  <c r="F47" i="17" s="1"/>
  <c r="C47" i="17"/>
  <c r="E47" i="17" s="1"/>
  <c r="F46" i="17"/>
  <c r="C46" i="17"/>
  <c r="E46" i="17" s="1"/>
  <c r="D45" i="17"/>
  <c r="F45" i="17" s="1"/>
  <c r="C45" i="17"/>
  <c r="E45" i="17" s="1"/>
  <c r="F44" i="17"/>
  <c r="E44" i="17"/>
  <c r="D44" i="17"/>
  <c r="C44" i="17"/>
  <c r="D43" i="17"/>
  <c r="F43" i="17" s="1"/>
  <c r="C43" i="17"/>
  <c r="E43" i="17" s="1"/>
  <c r="F42" i="17"/>
  <c r="E42" i="17"/>
  <c r="D40" i="17"/>
  <c r="F40" i="17" s="1"/>
  <c r="C40" i="17"/>
  <c r="E40" i="17" s="1"/>
  <c r="F39" i="17"/>
  <c r="E39" i="17"/>
  <c r="C39" i="17"/>
  <c r="D38" i="17"/>
  <c r="D41" i="17" s="1"/>
  <c r="C38" i="17"/>
  <c r="C41" i="17" s="1"/>
  <c r="F37" i="17"/>
  <c r="E37" i="17"/>
  <c r="D32" i="17"/>
  <c r="F32" i="17" s="1"/>
  <c r="C32" i="17"/>
  <c r="D31" i="17"/>
  <c r="C31" i="17"/>
  <c r="F31" i="17" s="1"/>
  <c r="D30" i="17"/>
  <c r="F30" i="17" s="1"/>
  <c r="C30" i="17"/>
  <c r="F29" i="17"/>
  <c r="E29" i="17"/>
  <c r="D29" i="17"/>
  <c r="D33" i="17" s="1"/>
  <c r="F28" i="17"/>
  <c r="E28" i="17"/>
  <c r="F27" i="17"/>
  <c r="E27" i="17"/>
  <c r="D27" i="17"/>
  <c r="C27" i="17"/>
  <c r="D24" i="17"/>
  <c r="D25" i="17" s="1"/>
  <c r="C24" i="17"/>
  <c r="C25" i="17" s="1"/>
  <c r="F23" i="17"/>
  <c r="E23" i="17"/>
  <c r="C22" i="17"/>
  <c r="E21" i="17"/>
  <c r="D21" i="17"/>
  <c r="D22" i="17" s="1"/>
  <c r="F20" i="17"/>
  <c r="E20" i="17"/>
  <c r="F19" i="17"/>
  <c r="E19" i="17"/>
  <c r="D18" i="17"/>
  <c r="F17" i="17"/>
  <c r="C17" i="17"/>
  <c r="E17" i="17" s="1"/>
  <c r="D16" i="17"/>
  <c r="F16" i="17" s="1"/>
  <c r="C16" i="17"/>
  <c r="E16" i="17" s="1"/>
  <c r="F15" i="17"/>
  <c r="E15" i="17"/>
  <c r="D15" i="17"/>
  <c r="C15" i="17"/>
  <c r="D14" i="17"/>
  <c r="F14" i="17" s="1"/>
  <c r="C14" i="17"/>
  <c r="E14" i="17" s="1"/>
  <c r="F13" i="17"/>
  <c r="E13" i="17"/>
  <c r="D13" i="17"/>
  <c r="C13" i="17"/>
  <c r="D12" i="17"/>
  <c r="F12" i="17" s="1"/>
  <c r="C12" i="17"/>
  <c r="E12" i="17" s="1"/>
  <c r="F11" i="17"/>
  <c r="E11" i="17"/>
  <c r="D11" i="17"/>
  <c r="C11" i="17"/>
  <c r="D10" i="17"/>
  <c r="F10" i="17" s="1"/>
  <c r="C10" i="17"/>
  <c r="E10" i="17" s="1"/>
  <c r="F9" i="17"/>
  <c r="E9" i="17"/>
  <c r="D9" i="17"/>
  <c r="C9" i="17"/>
  <c r="F8" i="17"/>
  <c r="E8" i="17"/>
  <c r="H77" i="12"/>
  <c r="F77" i="12"/>
  <c r="K76" i="12"/>
  <c r="I76" i="12"/>
  <c r="H76" i="12"/>
  <c r="G76" i="12"/>
  <c r="F76" i="12"/>
  <c r="E76" i="12"/>
  <c r="D76" i="12"/>
  <c r="C76" i="12"/>
  <c r="J76" i="12" s="1"/>
  <c r="I75" i="12"/>
  <c r="J75" i="12" s="1"/>
  <c r="L75" i="12" s="1"/>
  <c r="B75" i="12"/>
  <c r="B76" i="12" s="1"/>
  <c r="L76" i="12" s="1"/>
  <c r="K73" i="12"/>
  <c r="K77" i="12" s="1"/>
  <c r="H73" i="12"/>
  <c r="G73" i="12"/>
  <c r="G77" i="12" s="1"/>
  <c r="I77" i="12" s="1"/>
  <c r="F73" i="12"/>
  <c r="E73" i="12"/>
  <c r="E77" i="12" s="1"/>
  <c r="D73" i="12"/>
  <c r="D77" i="12" s="1"/>
  <c r="C73" i="12"/>
  <c r="C77" i="12" s="1"/>
  <c r="J72" i="12"/>
  <c r="I72" i="12"/>
  <c r="B72" i="12"/>
  <c r="L72" i="12" s="1"/>
  <c r="J71" i="12"/>
  <c r="I71" i="12"/>
  <c r="B71" i="12"/>
  <c r="L71" i="12" s="1"/>
  <c r="J70" i="12"/>
  <c r="I70" i="12"/>
  <c r="B70" i="12"/>
  <c r="L70" i="12" s="1"/>
  <c r="K66" i="12"/>
  <c r="H66" i="12"/>
  <c r="G66" i="12"/>
  <c r="I66" i="12" s="1"/>
  <c r="F66" i="12"/>
  <c r="E66" i="12"/>
  <c r="D66" i="12"/>
  <c r="C66" i="12"/>
  <c r="I65" i="12"/>
  <c r="J65" i="12" s="1"/>
  <c r="L65" i="12" s="1"/>
  <c r="B65" i="12"/>
  <c r="I64" i="12"/>
  <c r="J64" i="12" s="1"/>
  <c r="L64" i="12" s="1"/>
  <c r="B64" i="12"/>
  <c r="I63" i="12"/>
  <c r="J63" i="12" s="1"/>
  <c r="L63" i="12" s="1"/>
  <c r="B63" i="12"/>
  <c r="I62" i="12"/>
  <c r="J62" i="12" s="1"/>
  <c r="L62" i="12" s="1"/>
  <c r="B62" i="12"/>
  <c r="I61" i="12"/>
  <c r="J61" i="12" s="1"/>
  <c r="L61" i="12" s="1"/>
  <c r="B61" i="12"/>
  <c r="I60" i="12"/>
  <c r="J60" i="12" s="1"/>
  <c r="L60" i="12" s="1"/>
  <c r="B60" i="12"/>
  <c r="I59" i="12"/>
  <c r="J59" i="12" s="1"/>
  <c r="L59" i="12" s="1"/>
  <c r="B59" i="12"/>
  <c r="I58" i="12"/>
  <c r="J58" i="12" s="1"/>
  <c r="L58" i="12" s="1"/>
  <c r="B58" i="12"/>
  <c r="I57" i="12"/>
  <c r="J57" i="12" s="1"/>
  <c r="L57" i="12" s="1"/>
  <c r="B57" i="12"/>
  <c r="I56" i="12"/>
  <c r="J56" i="12" s="1"/>
  <c r="L56" i="12" s="1"/>
  <c r="G56" i="12"/>
  <c r="B56" i="12"/>
  <c r="J55" i="12"/>
  <c r="I55" i="12"/>
  <c r="B55" i="12"/>
  <c r="B66" i="12" s="1"/>
  <c r="J54" i="12"/>
  <c r="L54" i="12" s="1"/>
  <c r="I54" i="12"/>
  <c r="K53" i="12"/>
  <c r="H53" i="12"/>
  <c r="G53" i="12"/>
  <c r="I53" i="12" s="1"/>
  <c r="J53" i="12" s="1"/>
  <c r="F53" i="12"/>
  <c r="E53" i="12"/>
  <c r="D53" i="12"/>
  <c r="C53" i="12"/>
  <c r="J52" i="12"/>
  <c r="I52" i="12"/>
  <c r="B52" i="12"/>
  <c r="L52" i="12" s="1"/>
  <c r="J51" i="12"/>
  <c r="I51" i="12"/>
  <c r="B51" i="12"/>
  <c r="L51" i="12" s="1"/>
  <c r="J50" i="12"/>
  <c r="L50" i="12" s="1"/>
  <c r="I50" i="12"/>
  <c r="K49" i="12"/>
  <c r="H49" i="12"/>
  <c r="I49" i="12" s="1"/>
  <c r="G49" i="12"/>
  <c r="F49" i="12"/>
  <c r="J49" i="12" s="1"/>
  <c r="E49" i="12"/>
  <c r="D49" i="12"/>
  <c r="C49" i="12"/>
  <c r="J48" i="12"/>
  <c r="I48" i="12"/>
  <c r="B48" i="12"/>
  <c r="L48" i="12" s="1"/>
  <c r="J47" i="12"/>
  <c r="I47" i="12"/>
  <c r="B47" i="12"/>
  <c r="L47" i="12" s="1"/>
  <c r="J46" i="12"/>
  <c r="I46" i="12"/>
  <c r="B46" i="12"/>
  <c r="L46" i="12" s="1"/>
  <c r="J45" i="12"/>
  <c r="I45" i="12"/>
  <c r="B45" i="12"/>
  <c r="L45" i="12" s="1"/>
  <c r="J44" i="12"/>
  <c r="L44" i="12" s="1"/>
  <c r="I44" i="12"/>
  <c r="K43" i="12"/>
  <c r="H43" i="12"/>
  <c r="G43" i="12"/>
  <c r="I43" i="12" s="1"/>
  <c r="F43" i="12"/>
  <c r="E43" i="12"/>
  <c r="D43" i="12"/>
  <c r="J43" i="12" s="1"/>
  <c r="C43" i="12"/>
  <c r="J42" i="12"/>
  <c r="I42" i="12"/>
  <c r="B42" i="12"/>
  <c r="L42" i="12" s="1"/>
  <c r="J41" i="12"/>
  <c r="I41" i="12"/>
  <c r="B41" i="12"/>
  <c r="L41" i="12" s="1"/>
  <c r="J40" i="12"/>
  <c r="I40" i="12"/>
  <c r="B40" i="12"/>
  <c r="L40" i="12" s="1"/>
  <c r="J39" i="12"/>
  <c r="I39" i="12"/>
  <c r="B39" i="12"/>
  <c r="L39" i="12" s="1"/>
  <c r="J38" i="12"/>
  <c r="I38" i="12"/>
  <c r="B38" i="12"/>
  <c r="B43" i="12" s="1"/>
  <c r="L43" i="12" s="1"/>
  <c r="J37" i="12"/>
  <c r="L37" i="12" s="1"/>
  <c r="I37" i="12"/>
  <c r="K36" i="12"/>
  <c r="K67" i="12" s="1"/>
  <c r="H36" i="12"/>
  <c r="H67" i="12" s="1"/>
  <c r="E36" i="12"/>
  <c r="E67" i="12" s="1"/>
  <c r="C36" i="12"/>
  <c r="C67" i="12" s="1"/>
  <c r="B36" i="12"/>
  <c r="H35" i="12"/>
  <c r="G35" i="12"/>
  <c r="G36" i="12" s="1"/>
  <c r="B35" i="12"/>
  <c r="I34" i="12"/>
  <c r="F34" i="12"/>
  <c r="F36" i="12" s="1"/>
  <c r="F67" i="12" s="1"/>
  <c r="J33" i="12"/>
  <c r="L33" i="12" s="1"/>
  <c r="I33" i="12"/>
  <c r="D33" i="12"/>
  <c r="D36" i="12" s="1"/>
  <c r="J32" i="12"/>
  <c r="L32" i="12" s="1"/>
  <c r="I32" i="12"/>
  <c r="K28" i="12"/>
  <c r="H28" i="12"/>
  <c r="F28" i="12"/>
  <c r="E28" i="12"/>
  <c r="D28" i="12"/>
  <c r="C28" i="12"/>
  <c r="B28" i="12"/>
  <c r="G27" i="12"/>
  <c r="G28" i="12" s="1"/>
  <c r="I28" i="12" s="1"/>
  <c r="J28" i="12" s="1"/>
  <c r="D27" i="12"/>
  <c r="I26" i="12"/>
  <c r="J26" i="12" s="1"/>
  <c r="L26" i="12" s="1"/>
  <c r="B26" i="12"/>
  <c r="I25" i="12"/>
  <c r="J25" i="12" s="1"/>
  <c r="L25" i="12" s="1"/>
  <c r="B25" i="12"/>
  <c r="I24" i="12"/>
  <c r="J24" i="12" s="1"/>
  <c r="L24" i="12" s="1"/>
  <c r="K23" i="12"/>
  <c r="I23" i="12"/>
  <c r="J23" i="12" s="1"/>
  <c r="L23" i="12" s="1"/>
  <c r="K22" i="12"/>
  <c r="C22" i="12"/>
  <c r="K21" i="12"/>
  <c r="H21" i="12"/>
  <c r="H22" i="12" s="1"/>
  <c r="F21" i="12"/>
  <c r="F22" i="12" s="1"/>
  <c r="D21" i="12"/>
  <c r="C21" i="12"/>
  <c r="B21" i="12"/>
  <c r="B22" i="12" s="1"/>
  <c r="G20" i="12"/>
  <c r="G21" i="12" s="1"/>
  <c r="E20" i="12"/>
  <c r="E21" i="12" s="1"/>
  <c r="E22" i="12" s="1"/>
  <c r="E29" i="12" s="1"/>
  <c r="E30" i="12" s="1"/>
  <c r="E68" i="12" s="1"/>
  <c r="E78" i="12" s="1"/>
  <c r="I19" i="12"/>
  <c r="J19" i="12" s="1"/>
  <c r="L19" i="12" s="1"/>
  <c r="J18" i="12"/>
  <c r="L18" i="12" s="1"/>
  <c r="I18" i="12"/>
  <c r="H17" i="12"/>
  <c r="H29" i="12" s="1"/>
  <c r="H30" i="12" s="1"/>
  <c r="H68" i="12" s="1"/>
  <c r="H78" i="12" s="1"/>
  <c r="G17" i="12"/>
  <c r="I17" i="12" s="1"/>
  <c r="J17" i="12" s="1"/>
  <c r="F17" i="12"/>
  <c r="F29" i="12" s="1"/>
  <c r="F30" i="12" s="1"/>
  <c r="F68" i="12" s="1"/>
  <c r="F78" i="12" s="1"/>
  <c r="E17" i="12"/>
  <c r="D17" i="12"/>
  <c r="C17" i="12"/>
  <c r="C29" i="12" s="1"/>
  <c r="B17" i="12"/>
  <c r="K16" i="12"/>
  <c r="I16" i="12"/>
  <c r="J16" i="12" s="1"/>
  <c r="L16" i="12" s="1"/>
  <c r="K15" i="12"/>
  <c r="I15" i="12"/>
  <c r="J15" i="12" s="1"/>
  <c r="L15" i="12" s="1"/>
  <c r="K14" i="12"/>
  <c r="I14" i="12"/>
  <c r="J14" i="12" s="1"/>
  <c r="L14" i="12" s="1"/>
  <c r="K13" i="12"/>
  <c r="I13" i="12"/>
  <c r="J13" i="12" s="1"/>
  <c r="L13" i="12" s="1"/>
  <c r="K12" i="12"/>
  <c r="I12" i="12"/>
  <c r="J12" i="12" s="1"/>
  <c r="L12" i="12" s="1"/>
  <c r="K11" i="12"/>
  <c r="I11" i="12"/>
  <c r="J11" i="12" s="1"/>
  <c r="L11" i="12" s="1"/>
  <c r="K10" i="12"/>
  <c r="I10" i="12"/>
  <c r="J10" i="12" s="1"/>
  <c r="L10" i="12" s="1"/>
  <c r="K9" i="12"/>
  <c r="I9" i="12"/>
  <c r="J9" i="12" s="1"/>
  <c r="L9" i="12" s="1"/>
  <c r="K8" i="12"/>
  <c r="K17" i="12" s="1"/>
  <c r="K29" i="12" s="1"/>
  <c r="K30" i="12" s="1"/>
  <c r="K68" i="12" s="1"/>
  <c r="K78" i="12" s="1"/>
  <c r="I8" i="12"/>
  <c r="J8" i="12" s="1"/>
  <c r="L8" i="12" s="1"/>
  <c r="J7" i="12"/>
  <c r="L7" i="12" s="1"/>
  <c r="I7" i="12"/>
  <c r="F76" i="16"/>
  <c r="D76" i="16"/>
  <c r="F75" i="16"/>
  <c r="E75" i="16"/>
  <c r="E76" i="16" s="1"/>
  <c r="D75" i="16"/>
  <c r="C75" i="16"/>
  <c r="C76" i="16" s="1"/>
  <c r="B75" i="16"/>
  <c r="B76" i="16" s="1"/>
  <c r="G76" i="16" s="1"/>
  <c r="C73" i="16"/>
  <c r="C77" i="16" s="1"/>
  <c r="F72" i="16"/>
  <c r="E72" i="16"/>
  <c r="D72" i="16"/>
  <c r="C72" i="16"/>
  <c r="B72" i="16"/>
  <c r="G72" i="16" s="1"/>
  <c r="F71" i="16"/>
  <c r="F73" i="16" s="1"/>
  <c r="F77" i="16" s="1"/>
  <c r="E71" i="16"/>
  <c r="D71" i="16"/>
  <c r="C71" i="16"/>
  <c r="B71" i="16"/>
  <c r="G71" i="16" s="1"/>
  <c r="F70" i="16"/>
  <c r="E70" i="16"/>
  <c r="E73" i="16" s="1"/>
  <c r="E77" i="16" s="1"/>
  <c r="D70" i="16"/>
  <c r="D73" i="16" s="1"/>
  <c r="D77" i="16" s="1"/>
  <c r="C70" i="16"/>
  <c r="B70" i="16"/>
  <c r="G70" i="16" s="1"/>
  <c r="D66" i="16"/>
  <c r="F65" i="16"/>
  <c r="E65" i="16"/>
  <c r="D65" i="16"/>
  <c r="C65" i="16"/>
  <c r="B65" i="16"/>
  <c r="G65" i="16" s="1"/>
  <c r="F64" i="16"/>
  <c r="E64" i="16"/>
  <c r="D64" i="16"/>
  <c r="C64" i="16"/>
  <c r="B64" i="16"/>
  <c r="G64" i="16" s="1"/>
  <c r="F63" i="16"/>
  <c r="E63" i="16"/>
  <c r="D63" i="16"/>
  <c r="C63" i="16"/>
  <c r="B63" i="16"/>
  <c r="G63" i="16" s="1"/>
  <c r="D62" i="16"/>
  <c r="C62" i="16"/>
  <c r="B62" i="16"/>
  <c r="G62" i="16" s="1"/>
  <c r="F61" i="16"/>
  <c r="E61" i="16"/>
  <c r="D61" i="16"/>
  <c r="C61" i="16"/>
  <c r="B61" i="16"/>
  <c r="G61" i="16" s="1"/>
  <c r="F60" i="16"/>
  <c r="F66" i="16" s="1"/>
  <c r="F59" i="16"/>
  <c r="E59" i="16"/>
  <c r="D59" i="16"/>
  <c r="C59" i="16"/>
  <c r="B59" i="16"/>
  <c r="G59" i="16" s="1"/>
  <c r="C58" i="16"/>
  <c r="G58" i="16" s="1"/>
  <c r="B58" i="16"/>
  <c r="G57" i="16"/>
  <c r="F57" i="16"/>
  <c r="E57" i="16"/>
  <c r="B57" i="16"/>
  <c r="F56" i="16"/>
  <c r="E56" i="16"/>
  <c r="G56" i="16" s="1"/>
  <c r="D56" i="16"/>
  <c r="C56" i="16"/>
  <c r="B56" i="16"/>
  <c r="F55" i="16"/>
  <c r="E55" i="16"/>
  <c r="E66" i="16" s="1"/>
  <c r="D55" i="16"/>
  <c r="C55" i="16"/>
  <c r="C66" i="16" s="1"/>
  <c r="B55" i="16"/>
  <c r="G54" i="16"/>
  <c r="D53" i="16"/>
  <c r="C53" i="16"/>
  <c r="B53" i="16"/>
  <c r="E52" i="16"/>
  <c r="G52" i="16" s="1"/>
  <c r="F51" i="16"/>
  <c r="F53" i="16" s="1"/>
  <c r="B51" i="16"/>
  <c r="G51" i="16" s="1"/>
  <c r="G50" i="16"/>
  <c r="F49" i="16"/>
  <c r="D49" i="16"/>
  <c r="C48" i="16"/>
  <c r="G48" i="16" s="1"/>
  <c r="B48" i="16"/>
  <c r="G47" i="16"/>
  <c r="F47" i="16"/>
  <c r="E47" i="16"/>
  <c r="D47" i="16"/>
  <c r="C47" i="16"/>
  <c r="B47" i="16"/>
  <c r="B49" i="16" s="1"/>
  <c r="F46" i="16"/>
  <c r="E46" i="16"/>
  <c r="E49" i="16" s="1"/>
  <c r="D46" i="16"/>
  <c r="C46" i="16"/>
  <c r="C49" i="16" s="1"/>
  <c r="B46" i="16"/>
  <c r="D45" i="16"/>
  <c r="G45" i="16" s="1"/>
  <c r="G44" i="16"/>
  <c r="F42" i="16"/>
  <c r="E42" i="16"/>
  <c r="D42" i="16"/>
  <c r="C42" i="16"/>
  <c r="B42" i="16"/>
  <c r="G42" i="16" s="1"/>
  <c r="F41" i="16"/>
  <c r="E41" i="16"/>
  <c r="D41" i="16"/>
  <c r="C41" i="16"/>
  <c r="B41" i="16"/>
  <c r="G41" i="16" s="1"/>
  <c r="F40" i="16"/>
  <c r="E40" i="16"/>
  <c r="D40" i="16"/>
  <c r="C40" i="16"/>
  <c r="B40" i="16"/>
  <c r="G40" i="16" s="1"/>
  <c r="F39" i="16"/>
  <c r="F43" i="16" s="1"/>
  <c r="E39" i="16"/>
  <c r="D39" i="16"/>
  <c r="G39" i="16" s="1"/>
  <c r="C39" i="16"/>
  <c r="B39" i="16"/>
  <c r="F38" i="16"/>
  <c r="E38" i="16"/>
  <c r="E43" i="16" s="1"/>
  <c r="D38" i="16"/>
  <c r="D43" i="16" s="1"/>
  <c r="C38" i="16"/>
  <c r="C43" i="16" s="1"/>
  <c r="B38" i="16"/>
  <c r="B43" i="16" s="1"/>
  <c r="G37" i="16"/>
  <c r="F36" i="16"/>
  <c r="E36" i="16"/>
  <c r="C36" i="16"/>
  <c r="F35" i="16"/>
  <c r="E35" i="16"/>
  <c r="D35" i="16"/>
  <c r="D36" i="16" s="1"/>
  <c r="C35" i="16"/>
  <c r="G35" i="16" s="1"/>
  <c r="B35" i="16"/>
  <c r="G34" i="16"/>
  <c r="F34" i="16"/>
  <c r="E34" i="16"/>
  <c r="D34" i="16"/>
  <c r="C34" i="16"/>
  <c r="B34" i="16"/>
  <c r="B36" i="16" s="1"/>
  <c r="G33" i="16"/>
  <c r="E33" i="16"/>
  <c r="G32" i="16"/>
  <c r="B27" i="16"/>
  <c r="G27" i="16" s="1"/>
  <c r="F26" i="16"/>
  <c r="F28" i="16" s="1"/>
  <c r="E26" i="16"/>
  <c r="E28" i="16" s="1"/>
  <c r="D26" i="16"/>
  <c r="D28" i="16" s="1"/>
  <c r="C26" i="16"/>
  <c r="B26" i="16"/>
  <c r="B28" i="16" s="1"/>
  <c r="F25" i="16"/>
  <c r="D25" i="16"/>
  <c r="C25" i="16"/>
  <c r="C28" i="16" s="1"/>
  <c r="G24" i="16"/>
  <c r="G23" i="16"/>
  <c r="F23" i="16"/>
  <c r="E23" i="16"/>
  <c r="D23" i="16"/>
  <c r="C23" i="16"/>
  <c r="B23" i="16"/>
  <c r="E22" i="16"/>
  <c r="F21" i="16"/>
  <c r="F22" i="16" s="1"/>
  <c r="E21" i="16"/>
  <c r="C21" i="16"/>
  <c r="C22" i="16" s="1"/>
  <c r="F20" i="16"/>
  <c r="E20" i="16"/>
  <c r="D20" i="16"/>
  <c r="D21" i="16" s="1"/>
  <c r="D22" i="16" s="1"/>
  <c r="C20" i="16"/>
  <c r="G20" i="16" s="1"/>
  <c r="B20" i="16"/>
  <c r="B21" i="16" s="1"/>
  <c r="G19" i="16"/>
  <c r="G18" i="16"/>
  <c r="G16" i="16"/>
  <c r="F16" i="16"/>
  <c r="E16" i="16"/>
  <c r="D16" i="16"/>
  <c r="C16" i="16"/>
  <c r="B16" i="16"/>
  <c r="F15" i="16"/>
  <c r="E15" i="16"/>
  <c r="G15" i="16" s="1"/>
  <c r="D15" i="16"/>
  <c r="C15" i="16"/>
  <c r="B15" i="16"/>
  <c r="F14" i="16"/>
  <c r="E14" i="16"/>
  <c r="D14" i="16"/>
  <c r="C14" i="16"/>
  <c r="B14" i="16"/>
  <c r="G14" i="16" s="1"/>
  <c r="F13" i="16"/>
  <c r="E13" i="16"/>
  <c r="D13" i="16"/>
  <c r="C13" i="16"/>
  <c r="G13" i="16" s="1"/>
  <c r="B13" i="16"/>
  <c r="G12" i="16"/>
  <c r="F12" i="16"/>
  <c r="E12" i="16"/>
  <c r="D12" i="16"/>
  <c r="C12" i="16"/>
  <c r="B12" i="16"/>
  <c r="F11" i="16"/>
  <c r="E11" i="16"/>
  <c r="G11" i="16" s="1"/>
  <c r="D11" i="16"/>
  <c r="C11" i="16"/>
  <c r="B11" i="16"/>
  <c r="F10" i="16"/>
  <c r="E10" i="16"/>
  <c r="D10" i="16"/>
  <c r="C10" i="16"/>
  <c r="B10" i="16"/>
  <c r="G10" i="16" s="1"/>
  <c r="F9" i="16"/>
  <c r="E9" i="16"/>
  <c r="D9" i="16"/>
  <c r="D17" i="16" s="1"/>
  <c r="C9" i="16"/>
  <c r="G9" i="16" s="1"/>
  <c r="B9" i="16"/>
  <c r="G8" i="16"/>
  <c r="F8" i="16"/>
  <c r="F17" i="16" s="1"/>
  <c r="F29" i="16" s="1"/>
  <c r="F30" i="16" s="1"/>
  <c r="E8" i="16"/>
  <c r="E17" i="16" s="1"/>
  <c r="E29" i="16" s="1"/>
  <c r="E30" i="16" s="1"/>
  <c r="D8" i="16"/>
  <c r="C8" i="16"/>
  <c r="B8" i="16"/>
  <c r="B17" i="16" s="1"/>
  <c r="G7" i="16"/>
  <c r="D91" i="3"/>
  <c r="C91" i="3"/>
  <c r="D90" i="3"/>
  <c r="C90" i="3"/>
  <c r="D89" i="3"/>
  <c r="D92" i="3" s="1"/>
  <c r="C89" i="3"/>
  <c r="C92" i="3" s="1"/>
  <c r="D85" i="3"/>
  <c r="D86" i="3" s="1"/>
  <c r="C85" i="3"/>
  <c r="C86" i="3" s="1"/>
  <c r="D81" i="3"/>
  <c r="C81" i="3"/>
  <c r="D80" i="3"/>
  <c r="C80" i="3"/>
  <c r="D79" i="3"/>
  <c r="C79" i="3"/>
  <c r="D78" i="3"/>
  <c r="C78" i="3"/>
  <c r="D77" i="3"/>
  <c r="C77" i="3"/>
  <c r="D76" i="3"/>
  <c r="C76" i="3"/>
  <c r="D75" i="3"/>
  <c r="C75" i="3"/>
  <c r="D73" i="3"/>
  <c r="C73" i="3"/>
  <c r="D72" i="3"/>
  <c r="C72" i="3"/>
  <c r="D71" i="3"/>
  <c r="C71" i="3"/>
  <c r="D70" i="3"/>
  <c r="C70" i="3"/>
  <c r="D69" i="3"/>
  <c r="C69" i="3"/>
  <c r="D68" i="3"/>
  <c r="C68" i="3"/>
  <c r="D67" i="3"/>
  <c r="C67" i="3"/>
  <c r="D66" i="3"/>
  <c r="D74" i="3" s="1"/>
  <c r="C66" i="3"/>
  <c r="C74" i="3" s="1"/>
  <c r="D65" i="3"/>
  <c r="C65" i="3"/>
  <c r="C64" i="3"/>
  <c r="D62" i="3"/>
  <c r="C62" i="3"/>
  <c r="D61" i="3"/>
  <c r="C61" i="3"/>
  <c r="D60" i="3"/>
  <c r="C60" i="3"/>
  <c r="D59" i="3"/>
  <c r="C59" i="3"/>
  <c r="D58" i="3"/>
  <c r="C58" i="3"/>
  <c r="D57" i="3"/>
  <c r="C57" i="3"/>
  <c r="D56" i="3"/>
  <c r="C56" i="3"/>
  <c r="D55" i="3"/>
  <c r="C55" i="3"/>
  <c r="D54" i="3"/>
  <c r="C54" i="3"/>
  <c r="D53" i="3"/>
  <c r="C53" i="3"/>
  <c r="D52" i="3"/>
  <c r="C52" i="3"/>
  <c r="D51" i="3"/>
  <c r="D63" i="3" s="1"/>
  <c r="C51" i="3"/>
  <c r="D50" i="3"/>
  <c r="C50" i="3"/>
  <c r="C63" i="3" s="1"/>
  <c r="D49" i="3"/>
  <c r="C49" i="3"/>
  <c r="D48" i="3"/>
  <c r="C48" i="3"/>
  <c r="D47" i="3"/>
  <c r="C47" i="3"/>
  <c r="C46" i="3"/>
  <c r="D44" i="3"/>
  <c r="C44" i="3"/>
  <c r="D43" i="3"/>
  <c r="C43" i="3"/>
  <c r="D41" i="3"/>
  <c r="C41" i="3"/>
  <c r="D40" i="3"/>
  <c r="C40" i="3"/>
  <c r="D33" i="3"/>
  <c r="C33" i="3"/>
  <c r="D32" i="3"/>
  <c r="D34" i="3" s="1"/>
  <c r="C32" i="3"/>
  <c r="C34" i="3" s="1"/>
  <c r="D28" i="3"/>
  <c r="C28" i="3"/>
  <c r="D27" i="3"/>
  <c r="C27" i="3"/>
  <c r="D25" i="3"/>
  <c r="C25" i="3"/>
  <c r="D24" i="3"/>
  <c r="C24" i="3"/>
  <c r="D23" i="3"/>
  <c r="C23" i="3"/>
  <c r="D22" i="3"/>
  <c r="D26" i="3" s="1"/>
  <c r="D29" i="3" s="1"/>
  <c r="C22" i="3"/>
  <c r="C26" i="3" s="1"/>
  <c r="C29" i="3" s="1"/>
  <c r="D21" i="3"/>
  <c r="C21" i="3"/>
  <c r="D18" i="3"/>
  <c r="C18" i="3"/>
  <c r="D17" i="3"/>
  <c r="C17" i="3"/>
  <c r="D16" i="3"/>
  <c r="C16" i="3"/>
  <c r="D15" i="3"/>
  <c r="C15" i="3"/>
  <c r="D13" i="3"/>
  <c r="D30" i="3" s="1"/>
  <c r="D35" i="3" s="1"/>
  <c r="C13" i="3"/>
  <c r="C30" i="3" s="1"/>
  <c r="C35" i="3" s="1"/>
  <c r="D12" i="3"/>
  <c r="C12" i="3"/>
  <c r="D11" i="3"/>
  <c r="C11" i="3"/>
  <c r="D10" i="3"/>
  <c r="C10" i="3"/>
  <c r="Z93" i="4"/>
  <c r="AB93" i="4" s="1"/>
  <c r="R93" i="4"/>
  <c r="T93" i="4" s="1"/>
  <c r="J93" i="4"/>
  <c r="L93" i="4" s="1"/>
  <c r="AN92" i="4"/>
  <c r="AM92" i="4"/>
  <c r="AO92" i="4" s="1"/>
  <c r="AL92" i="4"/>
  <c r="AA92" i="4"/>
  <c r="AC92" i="4" s="1"/>
  <c r="Z92" i="4"/>
  <c r="AB92" i="4" s="1"/>
  <c r="X92" i="4"/>
  <c r="W92" i="4"/>
  <c r="Y92" i="4" s="1"/>
  <c r="V92" i="4"/>
  <c r="AD92" i="4" s="1"/>
  <c r="S92" i="4"/>
  <c r="U92" i="4" s="1"/>
  <c r="R92" i="4"/>
  <c r="T92" i="4" s="1"/>
  <c r="O92" i="4"/>
  <c r="Q92" i="4" s="1"/>
  <c r="N92" i="4"/>
  <c r="P92" i="4" s="1"/>
  <c r="K92" i="4"/>
  <c r="M92" i="4" s="1"/>
  <c r="J92" i="4"/>
  <c r="L92" i="4" s="1"/>
  <c r="H92" i="4"/>
  <c r="G92" i="4"/>
  <c r="F92" i="4"/>
  <c r="AP91" i="4"/>
  <c r="AO91" i="4"/>
  <c r="AN91" i="4"/>
  <c r="AH91" i="4"/>
  <c r="AJ91" i="4" s="1"/>
  <c r="AF91" i="4"/>
  <c r="AE91" i="4"/>
  <c r="AI91" i="4" s="1"/>
  <c r="AK91" i="4" s="1"/>
  <c r="AD91" i="4"/>
  <c r="AC91" i="4"/>
  <c r="AB91" i="4"/>
  <c r="Y91" i="4"/>
  <c r="X91" i="4"/>
  <c r="U91" i="4"/>
  <c r="T91" i="4"/>
  <c r="Q91" i="4"/>
  <c r="P91" i="4"/>
  <c r="M91" i="4"/>
  <c r="L91" i="4"/>
  <c r="I91" i="4"/>
  <c r="H91" i="4"/>
  <c r="D91" i="4"/>
  <c r="C91" i="4"/>
  <c r="C92" i="4" s="1"/>
  <c r="AO90" i="4"/>
  <c r="AN90" i="4"/>
  <c r="AH90" i="4"/>
  <c r="AE90" i="4"/>
  <c r="AD90" i="4"/>
  <c r="AF90" i="4" s="1"/>
  <c r="AC90" i="4"/>
  <c r="AB90" i="4"/>
  <c r="Y90" i="4"/>
  <c r="X90" i="4"/>
  <c r="U90" i="4"/>
  <c r="T90" i="4"/>
  <c r="Q90" i="4"/>
  <c r="P90" i="4"/>
  <c r="M90" i="4"/>
  <c r="L90" i="4"/>
  <c r="I90" i="4"/>
  <c r="H90" i="4"/>
  <c r="E90" i="4"/>
  <c r="B90" i="4"/>
  <c r="AO88" i="4"/>
  <c r="AM88" i="4"/>
  <c r="AM93" i="4" s="1"/>
  <c r="AO93" i="4" s="1"/>
  <c r="AL88" i="4"/>
  <c r="AB88" i="4"/>
  <c r="AA88" i="4"/>
  <c r="AA93" i="4" s="1"/>
  <c r="AC93" i="4" s="1"/>
  <c r="Z88" i="4"/>
  <c r="Y88" i="4"/>
  <c r="W88" i="4"/>
  <c r="W93" i="4" s="1"/>
  <c r="V88" i="4"/>
  <c r="T88" i="4"/>
  <c r="S88" i="4"/>
  <c r="S93" i="4" s="1"/>
  <c r="U93" i="4" s="1"/>
  <c r="R88" i="4"/>
  <c r="Q88" i="4"/>
  <c r="O88" i="4"/>
  <c r="O93" i="4" s="1"/>
  <c r="Q93" i="4" s="1"/>
  <c r="N88" i="4"/>
  <c r="L88" i="4"/>
  <c r="K88" i="4"/>
  <c r="K93" i="4" s="1"/>
  <c r="M93" i="4" s="1"/>
  <c r="J88" i="4"/>
  <c r="I88" i="4"/>
  <c r="G88" i="4"/>
  <c r="F88" i="4"/>
  <c r="AP87" i="4"/>
  <c r="AO87" i="4"/>
  <c r="AN87" i="4"/>
  <c r="AI87" i="4"/>
  <c r="AK87" i="4" s="1"/>
  <c r="AE87" i="4"/>
  <c r="AG87" i="4" s="1"/>
  <c r="AD87" i="4"/>
  <c r="AH87" i="4" s="1"/>
  <c r="AJ87" i="4" s="1"/>
  <c r="AC87" i="4"/>
  <c r="AB87" i="4"/>
  <c r="Y87" i="4"/>
  <c r="X87" i="4"/>
  <c r="U87" i="4"/>
  <c r="T87" i="4"/>
  <c r="Q87" i="4"/>
  <c r="P87" i="4"/>
  <c r="M87" i="4"/>
  <c r="L87" i="4"/>
  <c r="I87" i="4"/>
  <c r="H87" i="4"/>
  <c r="D87" i="4"/>
  <c r="C87" i="4"/>
  <c r="C88" i="4" s="1"/>
  <c r="AP86" i="4"/>
  <c r="AO86" i="4"/>
  <c r="AN86" i="4"/>
  <c r="AI86" i="4"/>
  <c r="AH86" i="4"/>
  <c r="AF86" i="4"/>
  <c r="AE86" i="4"/>
  <c r="AG86" i="4" s="1"/>
  <c r="AD86" i="4"/>
  <c r="AC86" i="4"/>
  <c r="AB86" i="4"/>
  <c r="Y86" i="4"/>
  <c r="X86" i="4"/>
  <c r="U86" i="4"/>
  <c r="T86" i="4"/>
  <c r="Q86" i="4"/>
  <c r="P86" i="4"/>
  <c r="M86" i="4"/>
  <c r="L86" i="4"/>
  <c r="I86" i="4"/>
  <c r="H86" i="4"/>
  <c r="E86" i="4"/>
  <c r="D86" i="4"/>
  <c r="B86" i="4"/>
  <c r="AO85" i="4"/>
  <c r="AN85" i="4"/>
  <c r="AH85" i="4"/>
  <c r="AF85" i="4"/>
  <c r="AE85" i="4"/>
  <c r="AI85" i="4" s="1"/>
  <c r="AD85" i="4"/>
  <c r="AC85" i="4"/>
  <c r="AB85" i="4"/>
  <c r="Y85" i="4"/>
  <c r="X85" i="4"/>
  <c r="U85" i="4"/>
  <c r="T85" i="4"/>
  <c r="Q85" i="4"/>
  <c r="P85" i="4"/>
  <c r="M85" i="4"/>
  <c r="L85" i="4"/>
  <c r="I85" i="4"/>
  <c r="H85" i="4"/>
  <c r="E85" i="4"/>
  <c r="D85" i="4"/>
  <c r="B85" i="4"/>
  <c r="AO84" i="4"/>
  <c r="AN84" i="4"/>
  <c r="AH84" i="4"/>
  <c r="AE84" i="4"/>
  <c r="AD84" i="4"/>
  <c r="AF84" i="4" s="1"/>
  <c r="AC84" i="4"/>
  <c r="AB84" i="4"/>
  <c r="Y84" i="4"/>
  <c r="X84" i="4"/>
  <c r="U84" i="4"/>
  <c r="T84" i="4"/>
  <c r="Q84" i="4"/>
  <c r="P84" i="4"/>
  <c r="M84" i="4"/>
  <c r="L84" i="4"/>
  <c r="I84" i="4"/>
  <c r="H84" i="4"/>
  <c r="E84" i="4"/>
  <c r="B84" i="4"/>
  <c r="AL80" i="4"/>
  <c r="AN80" i="4" s="1"/>
  <c r="AD80" i="4"/>
  <c r="AB80" i="4"/>
  <c r="AA80" i="4"/>
  <c r="AC80" i="4" s="1"/>
  <c r="Z80" i="4"/>
  <c r="W80" i="4"/>
  <c r="Y80" i="4" s="1"/>
  <c r="V80" i="4"/>
  <c r="X80" i="4" s="1"/>
  <c r="T80" i="4"/>
  <c r="S80" i="4"/>
  <c r="U80" i="4" s="1"/>
  <c r="R80" i="4"/>
  <c r="O80" i="4"/>
  <c r="Q80" i="4" s="1"/>
  <c r="N80" i="4"/>
  <c r="P80" i="4" s="1"/>
  <c r="L80" i="4"/>
  <c r="K80" i="4"/>
  <c r="M80" i="4" s="1"/>
  <c r="J80" i="4"/>
  <c r="G80" i="4"/>
  <c r="F80" i="4"/>
  <c r="AQ79" i="4"/>
  <c r="AO79" i="4"/>
  <c r="AN79" i="4"/>
  <c r="AK79" i="4"/>
  <c r="AI79" i="4"/>
  <c r="AG79" i="4"/>
  <c r="AF79" i="4"/>
  <c r="AE79" i="4"/>
  <c r="AD79" i="4"/>
  <c r="AH79" i="4" s="1"/>
  <c r="AJ79" i="4" s="1"/>
  <c r="AC79" i="4"/>
  <c r="AB79" i="4"/>
  <c r="Y79" i="4"/>
  <c r="X79" i="4"/>
  <c r="U79" i="4"/>
  <c r="T79" i="4"/>
  <c r="Q79" i="4"/>
  <c r="P79" i="4"/>
  <c r="M79" i="4"/>
  <c r="L79" i="4"/>
  <c r="I79" i="4"/>
  <c r="H79" i="4"/>
  <c r="D79" i="4"/>
  <c r="C79" i="4"/>
  <c r="B79" i="4"/>
  <c r="E79" i="4" s="1"/>
  <c r="AO78" i="4"/>
  <c r="AN78" i="4"/>
  <c r="AM78" i="4"/>
  <c r="AH78" i="4"/>
  <c r="AP78" i="4" s="1"/>
  <c r="AE78" i="4"/>
  <c r="AD78" i="4"/>
  <c r="AC78" i="4"/>
  <c r="AB78" i="4"/>
  <c r="Y78" i="4"/>
  <c r="X78" i="4"/>
  <c r="U78" i="4"/>
  <c r="T78" i="4"/>
  <c r="Q78" i="4"/>
  <c r="P78" i="4"/>
  <c r="M78" i="4"/>
  <c r="L78" i="4"/>
  <c r="I78" i="4"/>
  <c r="H78" i="4"/>
  <c r="E78" i="4"/>
  <c r="D78" i="4"/>
  <c r="AQ77" i="4"/>
  <c r="AS77" i="4" s="1"/>
  <c r="AO77" i="4"/>
  <c r="AN77" i="4"/>
  <c r="AM77" i="4"/>
  <c r="AH77" i="4"/>
  <c r="AP77" i="4" s="1"/>
  <c r="AG77" i="4"/>
  <c r="AF77" i="4"/>
  <c r="AE77" i="4"/>
  <c r="AI77" i="4" s="1"/>
  <c r="AK77" i="4" s="1"/>
  <c r="AD77" i="4"/>
  <c r="AC77" i="4"/>
  <c r="AB77" i="4"/>
  <c r="Y77" i="4"/>
  <c r="X77" i="4"/>
  <c r="U77" i="4"/>
  <c r="T77" i="4"/>
  <c r="Q77" i="4"/>
  <c r="P77" i="4"/>
  <c r="M77" i="4"/>
  <c r="L77" i="4"/>
  <c r="I77" i="4"/>
  <c r="H77" i="4"/>
  <c r="E77" i="4"/>
  <c r="D77" i="4"/>
  <c r="C77" i="4"/>
  <c r="B77" i="4"/>
  <c r="AO76" i="4"/>
  <c r="AN76" i="4"/>
  <c r="AM76" i="4"/>
  <c r="AI76" i="4"/>
  <c r="AK76" i="4" s="1"/>
  <c r="AG76" i="4"/>
  <c r="AE76" i="4"/>
  <c r="AF76" i="4" s="1"/>
  <c r="AD76" i="4"/>
  <c r="AH76" i="4" s="1"/>
  <c r="AP76" i="4" s="1"/>
  <c r="AC76" i="4"/>
  <c r="AB76" i="4"/>
  <c r="Y76" i="4"/>
  <c r="X76" i="4"/>
  <c r="U76" i="4"/>
  <c r="T76" i="4"/>
  <c r="Q76" i="4"/>
  <c r="P76" i="4"/>
  <c r="M76" i="4"/>
  <c r="L76" i="4"/>
  <c r="I76" i="4"/>
  <c r="H76" i="4"/>
  <c r="E76" i="4"/>
  <c r="C76" i="4"/>
  <c r="D76" i="4" s="1"/>
  <c r="B76" i="4"/>
  <c r="AO75" i="4"/>
  <c r="AN75" i="4"/>
  <c r="AE75" i="4"/>
  <c r="AD75" i="4"/>
  <c r="AH75" i="4" s="1"/>
  <c r="AC75" i="4"/>
  <c r="AB75" i="4"/>
  <c r="Y75" i="4"/>
  <c r="X75" i="4"/>
  <c r="U75" i="4"/>
  <c r="T75" i="4"/>
  <c r="Q75" i="4"/>
  <c r="P75" i="4"/>
  <c r="M75" i="4"/>
  <c r="L75" i="4"/>
  <c r="I75" i="4"/>
  <c r="H75" i="4"/>
  <c r="C75" i="4"/>
  <c r="B75" i="4"/>
  <c r="AP75" i="4" s="1"/>
  <c r="AP74" i="4"/>
  <c r="AO74" i="4"/>
  <c r="AN74" i="4"/>
  <c r="AH74" i="4"/>
  <c r="AE74" i="4"/>
  <c r="AD74" i="4"/>
  <c r="AC74" i="4"/>
  <c r="AB74" i="4"/>
  <c r="Y74" i="4"/>
  <c r="X74" i="4"/>
  <c r="U74" i="4"/>
  <c r="T74" i="4"/>
  <c r="Q74" i="4"/>
  <c r="P74" i="4"/>
  <c r="M74" i="4"/>
  <c r="L74" i="4"/>
  <c r="I74" i="4"/>
  <c r="H74" i="4"/>
  <c r="C74" i="4"/>
  <c r="B74" i="4"/>
  <c r="AO73" i="4"/>
  <c r="AN73" i="4"/>
  <c r="AI73" i="4"/>
  <c r="AG73" i="4"/>
  <c r="AE73" i="4"/>
  <c r="AD73" i="4"/>
  <c r="AH73" i="4" s="1"/>
  <c r="AC73" i="4"/>
  <c r="AB73" i="4"/>
  <c r="Y73" i="4"/>
  <c r="X73" i="4"/>
  <c r="U73" i="4"/>
  <c r="T73" i="4"/>
  <c r="Q73" i="4"/>
  <c r="P73" i="4"/>
  <c r="M73" i="4"/>
  <c r="L73" i="4"/>
  <c r="I73" i="4"/>
  <c r="H73" i="4"/>
  <c r="E73" i="4"/>
  <c r="D73" i="4"/>
  <c r="C73" i="4"/>
  <c r="AP72" i="4"/>
  <c r="AO72" i="4"/>
  <c r="AN72" i="4"/>
  <c r="AM72" i="4"/>
  <c r="AM80" i="4" s="1"/>
  <c r="AI72" i="4"/>
  <c r="AK72" i="4" s="1"/>
  <c r="AG72" i="4"/>
  <c r="AE72" i="4"/>
  <c r="AF72" i="4" s="1"/>
  <c r="AD72" i="4"/>
  <c r="AH72" i="4" s="1"/>
  <c r="AC72" i="4"/>
  <c r="AB72" i="4"/>
  <c r="Y72" i="4"/>
  <c r="X72" i="4"/>
  <c r="U72" i="4"/>
  <c r="T72" i="4"/>
  <c r="Q72" i="4"/>
  <c r="P72" i="4"/>
  <c r="M72" i="4"/>
  <c r="L72" i="4"/>
  <c r="I72" i="4"/>
  <c r="H72" i="4"/>
  <c r="E72" i="4"/>
  <c r="C72" i="4"/>
  <c r="D72" i="4" s="1"/>
  <c r="B72" i="4"/>
  <c r="AO71" i="4"/>
  <c r="AN71" i="4"/>
  <c r="AG71" i="4"/>
  <c r="AE71" i="4"/>
  <c r="AI71" i="4" s="1"/>
  <c r="AK71" i="4" s="1"/>
  <c r="AD71" i="4"/>
  <c r="AH71" i="4" s="1"/>
  <c r="AJ71" i="4" s="1"/>
  <c r="AC71" i="4"/>
  <c r="AB71" i="4"/>
  <c r="Y71" i="4"/>
  <c r="X71" i="4"/>
  <c r="U71" i="4"/>
  <c r="T71" i="4"/>
  <c r="Q71" i="4"/>
  <c r="P71" i="4"/>
  <c r="M71" i="4"/>
  <c r="L71" i="4"/>
  <c r="I71" i="4"/>
  <c r="H71" i="4"/>
  <c r="C71" i="4"/>
  <c r="B71" i="4"/>
  <c r="AO70" i="4"/>
  <c r="AN70" i="4"/>
  <c r="AE70" i="4"/>
  <c r="AD70" i="4"/>
  <c r="AH70" i="4" s="1"/>
  <c r="AC70" i="4"/>
  <c r="AB70" i="4"/>
  <c r="Y70" i="4"/>
  <c r="X70" i="4"/>
  <c r="U70" i="4"/>
  <c r="T70" i="4"/>
  <c r="Q70" i="4"/>
  <c r="P70" i="4"/>
  <c r="M70" i="4"/>
  <c r="L70" i="4"/>
  <c r="I70" i="4"/>
  <c r="H70" i="4"/>
  <c r="C70" i="4"/>
  <c r="AO69" i="4"/>
  <c r="AN69" i="4"/>
  <c r="AH69" i="4"/>
  <c r="AG69" i="4"/>
  <c r="AF69" i="4"/>
  <c r="AE69" i="4"/>
  <c r="AI69" i="4" s="1"/>
  <c r="AD69" i="4"/>
  <c r="AC69" i="4"/>
  <c r="AB69" i="4"/>
  <c r="Y69" i="4"/>
  <c r="X69" i="4"/>
  <c r="U69" i="4"/>
  <c r="T69" i="4"/>
  <c r="Q69" i="4"/>
  <c r="P69" i="4"/>
  <c r="M69" i="4"/>
  <c r="L69" i="4"/>
  <c r="I69" i="4"/>
  <c r="H69" i="4"/>
  <c r="E69" i="4"/>
  <c r="D69" i="4"/>
  <c r="C69" i="4"/>
  <c r="B69" i="4"/>
  <c r="AO68" i="4"/>
  <c r="AN68" i="4"/>
  <c r="AH68" i="4"/>
  <c r="AJ68" i="4" s="1"/>
  <c r="AF68" i="4"/>
  <c r="AE68" i="4"/>
  <c r="AI68" i="4" s="1"/>
  <c r="AK68" i="4" s="1"/>
  <c r="AD68" i="4"/>
  <c r="AC68" i="4"/>
  <c r="AB68" i="4"/>
  <c r="Y68" i="4"/>
  <c r="X68" i="4"/>
  <c r="U68" i="4"/>
  <c r="T68" i="4"/>
  <c r="Q68" i="4"/>
  <c r="P68" i="4"/>
  <c r="M68" i="4"/>
  <c r="L68" i="4"/>
  <c r="I68" i="4"/>
  <c r="H68" i="4"/>
  <c r="D68" i="4"/>
  <c r="C68" i="4"/>
  <c r="AQ68" i="4" s="1"/>
  <c r="B68" i="4"/>
  <c r="AO67" i="4"/>
  <c r="AN67" i="4"/>
  <c r="AG67" i="4"/>
  <c r="AF67" i="4"/>
  <c r="AE67" i="4"/>
  <c r="AI67" i="4" s="1"/>
  <c r="AK67" i="4" s="1"/>
  <c r="AD67" i="4"/>
  <c r="AH67" i="4" s="1"/>
  <c r="AC67" i="4"/>
  <c r="AB67" i="4"/>
  <c r="Y67" i="4"/>
  <c r="V67" i="4"/>
  <c r="X67" i="4" s="1"/>
  <c r="U67" i="4"/>
  <c r="T67" i="4"/>
  <c r="Q67" i="4"/>
  <c r="P67" i="4"/>
  <c r="M67" i="4"/>
  <c r="L67" i="4"/>
  <c r="I67" i="4"/>
  <c r="H67" i="4"/>
  <c r="C67" i="4"/>
  <c r="B67" i="4"/>
  <c r="AO66" i="4"/>
  <c r="AN66" i="4"/>
  <c r="AE66" i="4"/>
  <c r="AD66" i="4"/>
  <c r="AH66" i="4" s="1"/>
  <c r="AC66" i="4"/>
  <c r="AB66" i="4"/>
  <c r="Y66" i="4"/>
  <c r="X66" i="4"/>
  <c r="U66" i="4"/>
  <c r="T66" i="4"/>
  <c r="Q66" i="4"/>
  <c r="P66" i="4"/>
  <c r="M66" i="4"/>
  <c r="L66" i="4"/>
  <c r="I66" i="4"/>
  <c r="H66" i="4"/>
  <c r="C66" i="4"/>
  <c r="B66" i="4"/>
  <c r="B80" i="4" s="1"/>
  <c r="AO65" i="4"/>
  <c r="AN65" i="4"/>
  <c r="AK65" i="4"/>
  <c r="AI65" i="4"/>
  <c r="AQ65" i="4" s="1"/>
  <c r="AS65" i="4" s="1"/>
  <c r="AG65" i="4"/>
  <c r="AE65" i="4"/>
  <c r="AD65" i="4"/>
  <c r="AH65" i="4" s="1"/>
  <c r="AC65" i="4"/>
  <c r="AB65" i="4"/>
  <c r="Y65" i="4"/>
  <c r="X65" i="4"/>
  <c r="U65" i="4"/>
  <c r="T65" i="4"/>
  <c r="Q65" i="4"/>
  <c r="P65" i="4"/>
  <c r="M65" i="4"/>
  <c r="L65" i="4"/>
  <c r="I65" i="4"/>
  <c r="H65" i="4"/>
  <c r="E65" i="4"/>
  <c r="D65" i="4"/>
  <c r="C65" i="4"/>
  <c r="AO64" i="4"/>
  <c r="AN64" i="4"/>
  <c r="AH64" i="4"/>
  <c r="AF64" i="4"/>
  <c r="AE64" i="4"/>
  <c r="AI64" i="4" s="1"/>
  <c r="AD64" i="4"/>
  <c r="AC64" i="4"/>
  <c r="AB64" i="4"/>
  <c r="Y64" i="4"/>
  <c r="X64" i="4"/>
  <c r="U64" i="4"/>
  <c r="T64" i="4"/>
  <c r="Q64" i="4"/>
  <c r="P64" i="4"/>
  <c r="M64" i="4"/>
  <c r="L64" i="4"/>
  <c r="I64" i="4"/>
  <c r="H64" i="4"/>
  <c r="E64" i="4"/>
  <c r="D64" i="4"/>
  <c r="AO63" i="4"/>
  <c r="AM63" i="4"/>
  <c r="AL63" i="4"/>
  <c r="AN63" i="4" s="1"/>
  <c r="AC63" i="4"/>
  <c r="AB63" i="4"/>
  <c r="AA63" i="4"/>
  <c r="Z63" i="4"/>
  <c r="Y63" i="4"/>
  <c r="W63" i="4"/>
  <c r="AE63" i="4" s="1"/>
  <c r="AG63" i="4" s="1"/>
  <c r="V63" i="4"/>
  <c r="X63" i="4" s="1"/>
  <c r="U63" i="4"/>
  <c r="T63" i="4"/>
  <c r="S63" i="4"/>
  <c r="R63" i="4"/>
  <c r="Q63" i="4"/>
  <c r="O63" i="4"/>
  <c r="N63" i="4"/>
  <c r="P63" i="4" s="1"/>
  <c r="M63" i="4"/>
  <c r="L63" i="4"/>
  <c r="K63" i="4"/>
  <c r="J63" i="4"/>
  <c r="I63" i="4"/>
  <c r="G63" i="4"/>
  <c r="AI63" i="4" s="1"/>
  <c r="AK63" i="4" s="1"/>
  <c r="F63" i="4"/>
  <c r="AP62" i="4"/>
  <c r="AO62" i="4"/>
  <c r="AN62" i="4"/>
  <c r="AH62" i="4"/>
  <c r="AF62" i="4"/>
  <c r="AE62" i="4"/>
  <c r="AI62" i="4" s="1"/>
  <c r="AK62" i="4" s="1"/>
  <c r="AD62" i="4"/>
  <c r="AC62" i="4"/>
  <c r="AB62" i="4"/>
  <c r="Y62" i="4"/>
  <c r="X62" i="4"/>
  <c r="U62" i="4"/>
  <c r="T62" i="4"/>
  <c r="Q62" i="4"/>
  <c r="P62" i="4"/>
  <c r="M62" i="4"/>
  <c r="L62" i="4"/>
  <c r="I62" i="4"/>
  <c r="H62" i="4"/>
  <c r="D62" i="4"/>
  <c r="C62" i="4"/>
  <c r="AO61" i="4"/>
  <c r="AN61" i="4"/>
  <c r="AE61" i="4"/>
  <c r="AD61" i="4"/>
  <c r="AH61" i="4" s="1"/>
  <c r="AC61" i="4"/>
  <c r="AB61" i="4"/>
  <c r="Y61" i="4"/>
  <c r="X61" i="4"/>
  <c r="U61" i="4"/>
  <c r="T61" i="4"/>
  <c r="Q61" i="4"/>
  <c r="P61" i="4"/>
  <c r="M61" i="4"/>
  <c r="L61" i="4"/>
  <c r="I61" i="4"/>
  <c r="H61" i="4"/>
  <c r="C61" i="4"/>
  <c r="B61" i="4"/>
  <c r="AO60" i="4"/>
  <c r="AN60" i="4"/>
  <c r="AI60" i="4"/>
  <c r="AQ60" i="4" s="1"/>
  <c r="AG60" i="4"/>
  <c r="AE60" i="4"/>
  <c r="AD60" i="4"/>
  <c r="AH60" i="4" s="1"/>
  <c r="AJ60" i="4" s="1"/>
  <c r="AC60" i="4"/>
  <c r="AB60" i="4"/>
  <c r="Y60" i="4"/>
  <c r="X60" i="4"/>
  <c r="U60" i="4"/>
  <c r="T60" i="4"/>
  <c r="Q60" i="4"/>
  <c r="P60" i="4"/>
  <c r="M60" i="4"/>
  <c r="L60" i="4"/>
  <c r="I60" i="4"/>
  <c r="H60" i="4"/>
  <c r="E60" i="4"/>
  <c r="C60" i="4"/>
  <c r="B60" i="4"/>
  <c r="AS59" i="4"/>
  <c r="AQ59" i="4"/>
  <c r="AO59" i="4"/>
  <c r="AN59" i="4"/>
  <c r="AI59" i="4"/>
  <c r="AK59" i="4" s="1"/>
  <c r="AG59" i="4"/>
  <c r="AE59" i="4"/>
  <c r="AF59" i="4" s="1"/>
  <c r="AD59" i="4"/>
  <c r="AH59" i="4" s="1"/>
  <c r="AC59" i="4"/>
  <c r="AB59" i="4"/>
  <c r="Y59" i="4"/>
  <c r="X59" i="4"/>
  <c r="U59" i="4"/>
  <c r="T59" i="4"/>
  <c r="Q59" i="4"/>
  <c r="P59" i="4"/>
  <c r="M59" i="4"/>
  <c r="L59" i="4"/>
  <c r="I59" i="4"/>
  <c r="H59" i="4"/>
  <c r="E59" i="4"/>
  <c r="D59" i="4"/>
  <c r="AM58" i="4"/>
  <c r="AO58" i="4" s="1"/>
  <c r="AL58" i="4"/>
  <c r="AN58" i="4" s="1"/>
  <c r="AE58" i="4"/>
  <c r="AG58" i="4" s="1"/>
  <c r="AC58" i="4"/>
  <c r="AA58" i="4"/>
  <c r="Z58" i="4"/>
  <c r="AB58" i="4" s="1"/>
  <c r="W58" i="4"/>
  <c r="Y58" i="4" s="1"/>
  <c r="V58" i="4"/>
  <c r="AD58" i="4" s="1"/>
  <c r="U58" i="4"/>
  <c r="S58" i="4"/>
  <c r="R58" i="4"/>
  <c r="T58" i="4" s="1"/>
  <c r="O58" i="4"/>
  <c r="Q58" i="4" s="1"/>
  <c r="N58" i="4"/>
  <c r="P58" i="4" s="1"/>
  <c r="M58" i="4"/>
  <c r="K58" i="4"/>
  <c r="J58" i="4"/>
  <c r="L58" i="4" s="1"/>
  <c r="I58" i="4"/>
  <c r="G58" i="4"/>
  <c r="F58" i="4"/>
  <c r="AP57" i="4"/>
  <c r="AO57" i="4"/>
  <c r="AN57" i="4"/>
  <c r="AI57" i="4"/>
  <c r="AH57" i="4"/>
  <c r="AG57" i="4"/>
  <c r="AE57" i="4"/>
  <c r="AF57" i="4" s="1"/>
  <c r="AD57" i="4"/>
  <c r="AC57" i="4"/>
  <c r="AB57" i="4"/>
  <c r="Y57" i="4"/>
  <c r="X57" i="4"/>
  <c r="U57" i="4"/>
  <c r="T57" i="4"/>
  <c r="Q57" i="4"/>
  <c r="P57" i="4"/>
  <c r="M57" i="4"/>
  <c r="L57" i="4"/>
  <c r="I57" i="4"/>
  <c r="H57" i="4"/>
  <c r="E57" i="4"/>
  <c r="C57" i="4"/>
  <c r="D57" i="4" s="1"/>
  <c r="B57" i="4"/>
  <c r="AO56" i="4"/>
  <c r="AN56" i="4"/>
  <c r="AE56" i="4"/>
  <c r="AD56" i="4"/>
  <c r="AH56" i="4" s="1"/>
  <c r="AC56" i="4"/>
  <c r="AB56" i="4"/>
  <c r="Y56" i="4"/>
  <c r="X56" i="4"/>
  <c r="U56" i="4"/>
  <c r="T56" i="4"/>
  <c r="Q56" i="4"/>
  <c r="P56" i="4"/>
  <c r="M56" i="4"/>
  <c r="L56" i="4"/>
  <c r="I56" i="4"/>
  <c r="H56" i="4"/>
  <c r="E56" i="4"/>
  <c r="C56" i="4"/>
  <c r="B56" i="4"/>
  <c r="AP56" i="4" s="1"/>
  <c r="AO55" i="4"/>
  <c r="AN55" i="4"/>
  <c r="AE55" i="4"/>
  <c r="AD55" i="4"/>
  <c r="AH55" i="4" s="1"/>
  <c r="AC55" i="4"/>
  <c r="AB55" i="4"/>
  <c r="Y55" i="4"/>
  <c r="X55" i="4"/>
  <c r="U55" i="4"/>
  <c r="T55" i="4"/>
  <c r="Q55" i="4"/>
  <c r="P55" i="4"/>
  <c r="M55" i="4"/>
  <c r="L55" i="4"/>
  <c r="I55" i="4"/>
  <c r="H55" i="4"/>
  <c r="C55" i="4"/>
  <c r="AQ54" i="4"/>
  <c r="AP54" i="4"/>
  <c r="AR54" i="4" s="1"/>
  <c r="AO54" i="4"/>
  <c r="AN54" i="4"/>
  <c r="AK54" i="4"/>
  <c r="AI54" i="4"/>
  <c r="AH54" i="4"/>
  <c r="AJ54" i="4" s="1"/>
  <c r="AG54" i="4"/>
  <c r="AF54" i="4"/>
  <c r="AE54" i="4"/>
  <c r="AD54" i="4"/>
  <c r="AC54" i="4"/>
  <c r="AB54" i="4"/>
  <c r="Y54" i="4"/>
  <c r="X54" i="4"/>
  <c r="U54" i="4"/>
  <c r="T54" i="4"/>
  <c r="Q54" i="4"/>
  <c r="P54" i="4"/>
  <c r="M54" i="4"/>
  <c r="L54" i="4"/>
  <c r="I54" i="4"/>
  <c r="H54" i="4"/>
  <c r="D54" i="4"/>
  <c r="C54" i="4"/>
  <c r="B54" i="4"/>
  <c r="E54" i="4" s="1"/>
  <c r="AO53" i="4"/>
  <c r="AN53" i="4"/>
  <c r="AI53" i="4"/>
  <c r="AH53" i="4"/>
  <c r="AF53" i="4"/>
  <c r="AE53" i="4"/>
  <c r="AG53" i="4" s="1"/>
  <c r="AD53" i="4"/>
  <c r="AC53" i="4"/>
  <c r="AB53" i="4"/>
  <c r="Y53" i="4"/>
  <c r="X53" i="4"/>
  <c r="U53" i="4"/>
  <c r="T53" i="4"/>
  <c r="Q53" i="4"/>
  <c r="P53" i="4"/>
  <c r="M53" i="4"/>
  <c r="L53" i="4"/>
  <c r="I53" i="4"/>
  <c r="H53" i="4"/>
  <c r="C53" i="4"/>
  <c r="B53" i="4"/>
  <c r="AP53" i="4" s="1"/>
  <c r="AO52" i="4"/>
  <c r="AN52" i="4"/>
  <c r="AK52" i="4"/>
  <c r="AG52" i="4"/>
  <c r="AE52" i="4"/>
  <c r="AI52" i="4" s="1"/>
  <c r="AQ52" i="4" s="1"/>
  <c r="AS52" i="4" s="1"/>
  <c r="AD52" i="4"/>
  <c r="AH52" i="4" s="1"/>
  <c r="AP52" i="4" s="1"/>
  <c r="AR52" i="4" s="1"/>
  <c r="AC52" i="4"/>
  <c r="AB52" i="4"/>
  <c r="Y52" i="4"/>
  <c r="X52" i="4"/>
  <c r="U52" i="4"/>
  <c r="T52" i="4"/>
  <c r="Q52" i="4"/>
  <c r="P52" i="4"/>
  <c r="M52" i="4"/>
  <c r="L52" i="4"/>
  <c r="I52" i="4"/>
  <c r="H52" i="4"/>
  <c r="E52" i="4"/>
  <c r="D52" i="4"/>
  <c r="AM51" i="4"/>
  <c r="AL51" i="4"/>
  <c r="AE51" i="4"/>
  <c r="AG51" i="4" s="1"/>
  <c r="AC51" i="4"/>
  <c r="AA51" i="4"/>
  <c r="Z51" i="4"/>
  <c r="AB51" i="4" s="1"/>
  <c r="W51" i="4"/>
  <c r="Y51" i="4" s="1"/>
  <c r="V51" i="4"/>
  <c r="U51" i="4"/>
  <c r="T51" i="4"/>
  <c r="S51" i="4"/>
  <c r="R51" i="4"/>
  <c r="O51" i="4"/>
  <c r="Q51" i="4" s="1"/>
  <c r="N51" i="4"/>
  <c r="P51" i="4" s="1"/>
  <c r="M51" i="4"/>
  <c r="K51" i="4"/>
  <c r="L51" i="4" s="1"/>
  <c r="J51" i="4"/>
  <c r="G51" i="4"/>
  <c r="I51" i="4" s="1"/>
  <c r="F51" i="4"/>
  <c r="H51" i="4" s="1"/>
  <c r="AO50" i="4"/>
  <c r="AN50" i="4"/>
  <c r="AK50" i="4"/>
  <c r="AH50" i="4"/>
  <c r="AJ50" i="4" s="1"/>
  <c r="AE50" i="4"/>
  <c r="AI50" i="4" s="1"/>
  <c r="AD50" i="4"/>
  <c r="AF50" i="4" s="1"/>
  <c r="AC50" i="4"/>
  <c r="AB50" i="4"/>
  <c r="Y50" i="4"/>
  <c r="X50" i="4"/>
  <c r="U50" i="4"/>
  <c r="T50" i="4"/>
  <c r="Q50" i="4"/>
  <c r="P50" i="4"/>
  <c r="M50" i="4"/>
  <c r="L50" i="4"/>
  <c r="I50" i="4"/>
  <c r="H50" i="4"/>
  <c r="C50" i="4"/>
  <c r="E50" i="4" s="1"/>
  <c r="B50" i="4"/>
  <c r="D50" i="4" s="1"/>
  <c r="AO49" i="4"/>
  <c r="AN49" i="4"/>
  <c r="AE49" i="4"/>
  <c r="AG49" i="4" s="1"/>
  <c r="AD49" i="4"/>
  <c r="AH49" i="4" s="1"/>
  <c r="AC49" i="4"/>
  <c r="AB49" i="4"/>
  <c r="Y49" i="4"/>
  <c r="X49" i="4"/>
  <c r="U49" i="4"/>
  <c r="T49" i="4"/>
  <c r="Q49" i="4"/>
  <c r="P49" i="4"/>
  <c r="M49" i="4"/>
  <c r="L49" i="4"/>
  <c r="I49" i="4"/>
  <c r="H49" i="4"/>
  <c r="C49" i="4"/>
  <c r="B49" i="4"/>
  <c r="AO48" i="4"/>
  <c r="AN48" i="4"/>
  <c r="AI48" i="4"/>
  <c r="AK48" i="4" s="1"/>
  <c r="AE48" i="4"/>
  <c r="AG48" i="4" s="1"/>
  <c r="AD48" i="4"/>
  <c r="AC48" i="4"/>
  <c r="AB48" i="4"/>
  <c r="Y48" i="4"/>
  <c r="X48" i="4"/>
  <c r="U48" i="4"/>
  <c r="T48" i="4"/>
  <c r="Q48" i="4"/>
  <c r="P48" i="4"/>
  <c r="M48" i="4"/>
  <c r="L48" i="4"/>
  <c r="I48" i="4"/>
  <c r="H48" i="4"/>
  <c r="C48" i="4"/>
  <c r="B48" i="4"/>
  <c r="AO47" i="4"/>
  <c r="AN47" i="4"/>
  <c r="AI47" i="4"/>
  <c r="AK47" i="4" s="1"/>
  <c r="AH47" i="4"/>
  <c r="AG47" i="4"/>
  <c r="AE47" i="4"/>
  <c r="AD47" i="4"/>
  <c r="AF47" i="4" s="1"/>
  <c r="AC47" i="4"/>
  <c r="AB47" i="4"/>
  <c r="Y47" i="4"/>
  <c r="X47" i="4"/>
  <c r="U47" i="4"/>
  <c r="T47" i="4"/>
  <c r="Q47" i="4"/>
  <c r="P47" i="4"/>
  <c r="M47" i="4"/>
  <c r="L47" i="4"/>
  <c r="I47" i="4"/>
  <c r="H47" i="4"/>
  <c r="E47" i="4"/>
  <c r="C47" i="4"/>
  <c r="B47" i="4"/>
  <c r="AP47" i="4" s="1"/>
  <c r="AO46" i="4"/>
  <c r="AN46" i="4"/>
  <c r="AH46" i="4"/>
  <c r="AE46" i="4"/>
  <c r="AD46" i="4"/>
  <c r="AC46" i="4"/>
  <c r="AB46" i="4"/>
  <c r="Y46" i="4"/>
  <c r="X46" i="4"/>
  <c r="U46" i="4"/>
  <c r="T46" i="4"/>
  <c r="Q46" i="4"/>
  <c r="P46" i="4"/>
  <c r="M46" i="4"/>
  <c r="L46" i="4"/>
  <c r="I46" i="4"/>
  <c r="H46" i="4"/>
  <c r="E46" i="4"/>
  <c r="C46" i="4"/>
  <c r="B46" i="4"/>
  <c r="AO45" i="4"/>
  <c r="AN45" i="4"/>
  <c r="AE45" i="4"/>
  <c r="AD45" i="4"/>
  <c r="AH45" i="4" s="1"/>
  <c r="AC45" i="4"/>
  <c r="AB45" i="4"/>
  <c r="Y45" i="4"/>
  <c r="X45" i="4"/>
  <c r="U45" i="4"/>
  <c r="T45" i="4"/>
  <c r="Q45" i="4"/>
  <c r="P45" i="4"/>
  <c r="M45" i="4"/>
  <c r="L45" i="4"/>
  <c r="I45" i="4"/>
  <c r="H45" i="4"/>
  <c r="E45" i="4"/>
  <c r="D45" i="4"/>
  <c r="AM44" i="4"/>
  <c r="AL44" i="4"/>
  <c r="AA44" i="4"/>
  <c r="AA81" i="4" s="1"/>
  <c r="AC81" i="4" s="1"/>
  <c r="W44" i="4"/>
  <c r="V44" i="4"/>
  <c r="S44" i="4"/>
  <c r="S81" i="4" s="1"/>
  <c r="U81" i="4" s="1"/>
  <c r="O44" i="4"/>
  <c r="O81" i="4" s="1"/>
  <c r="Q81" i="4" s="1"/>
  <c r="N44" i="4"/>
  <c r="K44" i="4"/>
  <c r="K81" i="4" s="1"/>
  <c r="M81" i="4" s="1"/>
  <c r="F44" i="4"/>
  <c r="E44" i="4"/>
  <c r="C44" i="4"/>
  <c r="AO43" i="4"/>
  <c r="AN43" i="4"/>
  <c r="AE43" i="4"/>
  <c r="AG43" i="4" s="1"/>
  <c r="AC43" i="4"/>
  <c r="Z43" i="4"/>
  <c r="Z44" i="4" s="1"/>
  <c r="Z81" i="4" s="1"/>
  <c r="AB81" i="4" s="1"/>
  <c r="Y43" i="4"/>
  <c r="V43" i="4"/>
  <c r="U43" i="4"/>
  <c r="T43" i="4"/>
  <c r="Q43" i="4"/>
  <c r="P43" i="4"/>
  <c r="M43" i="4"/>
  <c r="L43" i="4"/>
  <c r="G43" i="4"/>
  <c r="E43" i="4"/>
  <c r="D43" i="4"/>
  <c r="B43" i="4"/>
  <c r="B44" i="4" s="1"/>
  <c r="AO42" i="4"/>
  <c r="AN42" i="4"/>
  <c r="AE42" i="4"/>
  <c r="AG42" i="4" s="1"/>
  <c r="AD42" i="4"/>
  <c r="AC42" i="4"/>
  <c r="AB42" i="4"/>
  <c r="Y42" i="4"/>
  <c r="X42" i="4"/>
  <c r="U42" i="4"/>
  <c r="R42" i="4"/>
  <c r="Q42" i="4"/>
  <c r="P42" i="4"/>
  <c r="M42" i="4"/>
  <c r="L42" i="4"/>
  <c r="G42" i="4"/>
  <c r="E42" i="4"/>
  <c r="D42" i="4"/>
  <c r="AO41" i="4"/>
  <c r="AN41" i="4"/>
  <c r="AI41" i="4"/>
  <c r="AQ41" i="4" s="1"/>
  <c r="AS41" i="4" s="1"/>
  <c r="AE41" i="4"/>
  <c r="AG41" i="4" s="1"/>
  <c r="AD41" i="4"/>
  <c r="AF41" i="4" s="1"/>
  <c r="AC41" i="4"/>
  <c r="AB41" i="4"/>
  <c r="Y41" i="4"/>
  <c r="X41" i="4"/>
  <c r="U41" i="4"/>
  <c r="T41" i="4"/>
  <c r="Q41" i="4"/>
  <c r="P41" i="4"/>
  <c r="M41" i="4"/>
  <c r="J41" i="4"/>
  <c r="G41" i="4"/>
  <c r="I41" i="4" s="1"/>
  <c r="E41" i="4"/>
  <c r="D41" i="4"/>
  <c r="AO40" i="4"/>
  <c r="AN40" i="4"/>
  <c r="AI40" i="4"/>
  <c r="AK40" i="4" s="1"/>
  <c r="AH40" i="4"/>
  <c r="AP40" i="4" s="1"/>
  <c r="AG40" i="4"/>
  <c r="AE40" i="4"/>
  <c r="AD40" i="4"/>
  <c r="AF40" i="4" s="1"/>
  <c r="AC40" i="4"/>
  <c r="AB40" i="4"/>
  <c r="Y40" i="4"/>
  <c r="X40" i="4"/>
  <c r="U40" i="4"/>
  <c r="T40" i="4"/>
  <c r="Q40" i="4"/>
  <c r="P40" i="4"/>
  <c r="M40" i="4"/>
  <c r="L40" i="4"/>
  <c r="I40" i="4"/>
  <c r="H40" i="4"/>
  <c r="E40" i="4"/>
  <c r="D40" i="4"/>
  <c r="K37" i="4"/>
  <c r="K38" i="4" s="1"/>
  <c r="AM36" i="4"/>
  <c r="AO36" i="4" s="1"/>
  <c r="AL36" i="4"/>
  <c r="AA36" i="4"/>
  <c r="AC36" i="4" s="1"/>
  <c r="Z36" i="4"/>
  <c r="AB36" i="4" s="1"/>
  <c r="W36" i="4"/>
  <c r="Y36" i="4" s="1"/>
  <c r="S36" i="4"/>
  <c r="U36" i="4" s="1"/>
  <c r="R36" i="4"/>
  <c r="T36" i="4" s="1"/>
  <c r="Q36" i="4"/>
  <c r="O36" i="4"/>
  <c r="N36" i="4"/>
  <c r="P36" i="4" s="1"/>
  <c r="K36" i="4"/>
  <c r="M36" i="4" s="1"/>
  <c r="J36" i="4"/>
  <c r="L36" i="4" s="1"/>
  <c r="G36" i="4"/>
  <c r="F36" i="4"/>
  <c r="H36" i="4" s="1"/>
  <c r="B36" i="4"/>
  <c r="D36" i="4" s="1"/>
  <c r="AQ35" i="4"/>
  <c r="AS35" i="4" s="1"/>
  <c r="AO35" i="4"/>
  <c r="AN35" i="4"/>
  <c r="AI35" i="4"/>
  <c r="AK35" i="4" s="1"/>
  <c r="AG35" i="4"/>
  <c r="AE35" i="4"/>
  <c r="AC35" i="4"/>
  <c r="AB35" i="4"/>
  <c r="Y35" i="4"/>
  <c r="V35" i="4"/>
  <c r="U35" i="4"/>
  <c r="T35" i="4"/>
  <c r="Q35" i="4"/>
  <c r="P35" i="4"/>
  <c r="M35" i="4"/>
  <c r="L35" i="4"/>
  <c r="J35" i="4"/>
  <c r="I35" i="4"/>
  <c r="H35" i="4"/>
  <c r="C35" i="4"/>
  <c r="E35" i="4" s="1"/>
  <c r="AS34" i="4"/>
  <c r="AO34" i="4"/>
  <c r="AN34" i="4"/>
  <c r="AI34" i="4"/>
  <c r="AK34" i="4" s="1"/>
  <c r="AH34" i="4"/>
  <c r="AJ34" i="4" s="1"/>
  <c r="AF34" i="4"/>
  <c r="AE34" i="4"/>
  <c r="AG34" i="4" s="1"/>
  <c r="AD34" i="4"/>
  <c r="AC34" i="4"/>
  <c r="AB34" i="4"/>
  <c r="Y34" i="4"/>
  <c r="X34" i="4"/>
  <c r="U34" i="4"/>
  <c r="T34" i="4"/>
  <c r="Q34" i="4"/>
  <c r="P34" i="4"/>
  <c r="M34" i="4"/>
  <c r="L34" i="4"/>
  <c r="I34" i="4"/>
  <c r="H34" i="4"/>
  <c r="D34" i="4"/>
  <c r="C34" i="4"/>
  <c r="AQ34" i="4" s="1"/>
  <c r="AP33" i="4"/>
  <c r="AO33" i="4"/>
  <c r="AN33" i="4"/>
  <c r="AE33" i="4"/>
  <c r="AD33" i="4"/>
  <c r="AH33" i="4" s="1"/>
  <c r="AC33" i="4"/>
  <c r="AB33" i="4"/>
  <c r="Y33" i="4"/>
  <c r="X33" i="4"/>
  <c r="U33" i="4"/>
  <c r="T33" i="4"/>
  <c r="Q33" i="4"/>
  <c r="P33" i="4"/>
  <c r="M33" i="4"/>
  <c r="L33" i="4"/>
  <c r="I33" i="4"/>
  <c r="H33" i="4"/>
  <c r="D33" i="4"/>
  <c r="C33" i="4"/>
  <c r="B33" i="4"/>
  <c r="AO32" i="4"/>
  <c r="AN32" i="4"/>
  <c r="AK32" i="4"/>
  <c r="AI32" i="4"/>
  <c r="AE32" i="4"/>
  <c r="AG32" i="4" s="1"/>
  <c r="AD32" i="4"/>
  <c r="AC32" i="4"/>
  <c r="AB32" i="4"/>
  <c r="Y32" i="4"/>
  <c r="X32" i="4"/>
  <c r="U32" i="4"/>
  <c r="T32" i="4"/>
  <c r="Q32" i="4"/>
  <c r="P32" i="4"/>
  <c r="M32" i="4"/>
  <c r="L32" i="4"/>
  <c r="I32" i="4"/>
  <c r="H32" i="4"/>
  <c r="C32" i="4"/>
  <c r="AQ32" i="4" s="1"/>
  <c r="B32" i="4"/>
  <c r="AP31" i="4"/>
  <c r="AO31" i="4"/>
  <c r="AN31" i="4"/>
  <c r="AK31" i="4"/>
  <c r="AJ31" i="4"/>
  <c r="AI31" i="4"/>
  <c r="AQ31" i="4" s="1"/>
  <c r="AS31" i="4" s="1"/>
  <c r="AH31" i="4"/>
  <c r="AG31" i="4"/>
  <c r="AF31" i="4"/>
  <c r="AE31" i="4"/>
  <c r="AD31" i="4"/>
  <c r="AC31" i="4"/>
  <c r="AB31" i="4"/>
  <c r="Y31" i="4"/>
  <c r="X31" i="4"/>
  <c r="U31" i="4"/>
  <c r="T31" i="4"/>
  <c r="Q31" i="4"/>
  <c r="P31" i="4"/>
  <c r="M31" i="4"/>
  <c r="L31" i="4"/>
  <c r="I31" i="4"/>
  <c r="H31" i="4"/>
  <c r="E31" i="4"/>
  <c r="D31" i="4"/>
  <c r="C31" i="4"/>
  <c r="C36" i="4" s="1"/>
  <c r="AQ30" i="4"/>
  <c r="AS30" i="4" s="1"/>
  <c r="AO30" i="4"/>
  <c r="AN30" i="4"/>
  <c r="AG30" i="4"/>
  <c r="AE30" i="4"/>
  <c r="AI30" i="4" s="1"/>
  <c r="AK30" i="4" s="1"/>
  <c r="AD30" i="4"/>
  <c r="AH30" i="4" s="1"/>
  <c r="AC30" i="4"/>
  <c r="AB30" i="4"/>
  <c r="Y30" i="4"/>
  <c r="X30" i="4"/>
  <c r="U30" i="4"/>
  <c r="T30" i="4"/>
  <c r="Q30" i="4"/>
  <c r="P30" i="4"/>
  <c r="M30" i="4"/>
  <c r="L30" i="4"/>
  <c r="I30" i="4"/>
  <c r="H30" i="4"/>
  <c r="E30" i="4"/>
  <c r="D30" i="4"/>
  <c r="AM29" i="4"/>
  <c r="AO29" i="4" s="1"/>
  <c r="AL29" i="4"/>
  <c r="AE29" i="4"/>
  <c r="AD29" i="4"/>
  <c r="AH29" i="4" s="1"/>
  <c r="AP29" i="4" s="1"/>
  <c r="AC29" i="4"/>
  <c r="AB29" i="4"/>
  <c r="Y29" i="4"/>
  <c r="X29" i="4"/>
  <c r="U29" i="4"/>
  <c r="T29" i="4"/>
  <c r="Q29" i="4"/>
  <c r="P29" i="4"/>
  <c r="M29" i="4"/>
  <c r="L29" i="4"/>
  <c r="I29" i="4"/>
  <c r="H29" i="4"/>
  <c r="E29" i="4"/>
  <c r="D29" i="4"/>
  <c r="AO28" i="4"/>
  <c r="AL28" i="4"/>
  <c r="AN28" i="4" s="1"/>
  <c r="Z28" i="4"/>
  <c r="AB28" i="4" s="1"/>
  <c r="M28" i="4"/>
  <c r="C28" i="4"/>
  <c r="B28" i="4"/>
  <c r="AM27" i="4"/>
  <c r="AO27" i="4" s="1"/>
  <c r="AL27" i="4"/>
  <c r="AN27" i="4" s="1"/>
  <c r="AC27" i="4"/>
  <c r="AA27" i="4"/>
  <c r="Z27" i="4"/>
  <c r="AB27" i="4" s="1"/>
  <c r="W27" i="4"/>
  <c r="Y27" i="4" s="1"/>
  <c r="V27" i="4"/>
  <c r="X27" i="4" s="1"/>
  <c r="U27" i="4"/>
  <c r="S27" i="4"/>
  <c r="R27" i="4"/>
  <c r="T27" i="4" s="1"/>
  <c r="O27" i="4"/>
  <c r="Q27" i="4" s="1"/>
  <c r="M27" i="4"/>
  <c r="K27" i="4"/>
  <c r="J27" i="4"/>
  <c r="L27" i="4" s="1"/>
  <c r="F27" i="4"/>
  <c r="E27" i="4"/>
  <c r="C27" i="4"/>
  <c r="B27" i="4"/>
  <c r="AP26" i="4"/>
  <c r="AO26" i="4"/>
  <c r="AN26" i="4"/>
  <c r="AH26" i="4"/>
  <c r="AJ26" i="4" s="1"/>
  <c r="AE26" i="4"/>
  <c r="AF26" i="4" s="1"/>
  <c r="AD26" i="4"/>
  <c r="AC26" i="4"/>
  <c r="AB26" i="4"/>
  <c r="Y26" i="4"/>
  <c r="X26" i="4"/>
  <c r="U26" i="4"/>
  <c r="T26" i="4"/>
  <c r="Q26" i="4"/>
  <c r="P26" i="4"/>
  <c r="M26" i="4"/>
  <c r="L26" i="4"/>
  <c r="G26" i="4"/>
  <c r="AI26" i="4" s="1"/>
  <c r="E26" i="4"/>
  <c r="D26" i="4"/>
  <c r="AO25" i="4"/>
  <c r="AN25" i="4"/>
  <c r="AE25" i="4"/>
  <c r="AG25" i="4" s="1"/>
  <c r="AD25" i="4"/>
  <c r="AF25" i="4" s="1"/>
  <c r="AC25" i="4"/>
  <c r="AB25" i="4"/>
  <c r="Y25" i="4"/>
  <c r="X25" i="4"/>
  <c r="V25" i="4"/>
  <c r="U25" i="4"/>
  <c r="T25" i="4"/>
  <c r="Q25" i="4"/>
  <c r="N25" i="4"/>
  <c r="N27" i="4" s="1"/>
  <c r="M25" i="4"/>
  <c r="L25" i="4"/>
  <c r="G25" i="4"/>
  <c r="I25" i="4" s="1"/>
  <c r="E25" i="4"/>
  <c r="D25" i="4"/>
  <c r="AO24" i="4"/>
  <c r="AN24" i="4"/>
  <c r="AI24" i="4"/>
  <c r="AK24" i="4" s="1"/>
  <c r="AG24" i="4"/>
  <c r="AE24" i="4"/>
  <c r="AD24" i="4"/>
  <c r="AF24" i="4" s="1"/>
  <c r="AC24" i="4"/>
  <c r="AB24" i="4"/>
  <c r="Y24" i="4"/>
  <c r="X24" i="4"/>
  <c r="U24" i="4"/>
  <c r="T24" i="4"/>
  <c r="Q24" i="4"/>
  <c r="P24" i="4"/>
  <c r="M24" i="4"/>
  <c r="L24" i="4"/>
  <c r="I24" i="4"/>
  <c r="H24" i="4"/>
  <c r="E24" i="4"/>
  <c r="D24" i="4"/>
  <c r="AO23" i="4"/>
  <c r="AM23" i="4"/>
  <c r="AM28" i="4" s="1"/>
  <c r="AL23" i="4"/>
  <c r="AN23" i="4" s="1"/>
  <c r="AA23" i="4"/>
  <c r="AA28" i="4" s="1"/>
  <c r="AC28" i="4" s="1"/>
  <c r="Z23" i="4"/>
  <c r="AB23" i="4" s="1"/>
  <c r="Y23" i="4"/>
  <c r="W23" i="4"/>
  <c r="W28" i="4" s="1"/>
  <c r="AE28" i="4" s="1"/>
  <c r="AG28" i="4" s="1"/>
  <c r="V23" i="4"/>
  <c r="AD23" i="4" s="1"/>
  <c r="S23" i="4"/>
  <c r="S28" i="4" s="1"/>
  <c r="U28" i="4" s="1"/>
  <c r="R23" i="4"/>
  <c r="R28" i="4" s="1"/>
  <c r="T28" i="4" s="1"/>
  <c r="Q23" i="4"/>
  <c r="O23" i="4"/>
  <c r="O28" i="4" s="1"/>
  <c r="Q28" i="4" s="1"/>
  <c r="N23" i="4"/>
  <c r="P23" i="4" s="1"/>
  <c r="K23" i="4"/>
  <c r="K28" i="4" s="1"/>
  <c r="J23" i="4"/>
  <c r="AH23" i="4" s="1"/>
  <c r="F23" i="4"/>
  <c r="F28" i="4" s="1"/>
  <c r="C23" i="4"/>
  <c r="E23" i="4" s="1"/>
  <c r="B23" i="4"/>
  <c r="D23" i="4" s="1"/>
  <c r="AO22" i="4"/>
  <c r="AN22" i="4"/>
  <c r="AI22" i="4"/>
  <c r="AK22" i="4" s="1"/>
  <c r="AG22" i="4"/>
  <c r="AE22" i="4"/>
  <c r="AD22" i="4"/>
  <c r="AF22" i="4" s="1"/>
  <c r="AC22" i="4"/>
  <c r="AB22" i="4"/>
  <c r="Y22" i="4"/>
  <c r="X22" i="4"/>
  <c r="U22" i="4"/>
  <c r="T22" i="4"/>
  <c r="Q22" i="4"/>
  <c r="P22" i="4"/>
  <c r="M22" i="4"/>
  <c r="L22" i="4"/>
  <c r="I22" i="4"/>
  <c r="G22" i="4"/>
  <c r="H22" i="4" s="1"/>
  <c r="E22" i="4"/>
  <c r="D22" i="4"/>
  <c r="AO21" i="4"/>
  <c r="AN21" i="4"/>
  <c r="AG21" i="4"/>
  <c r="AF21" i="4"/>
  <c r="AE21" i="4"/>
  <c r="AD21" i="4"/>
  <c r="AH21" i="4" s="1"/>
  <c r="AC21" i="4"/>
  <c r="AB21" i="4"/>
  <c r="Y21" i="4"/>
  <c r="X21" i="4"/>
  <c r="U21" i="4"/>
  <c r="T21" i="4"/>
  <c r="Q21" i="4"/>
  <c r="P21" i="4"/>
  <c r="M21" i="4"/>
  <c r="L21" i="4"/>
  <c r="G21" i="4"/>
  <c r="AI21" i="4" s="1"/>
  <c r="E21" i="4"/>
  <c r="D21" i="4"/>
  <c r="AO20" i="4"/>
  <c r="AN20" i="4"/>
  <c r="AK20" i="4"/>
  <c r="AI20" i="4"/>
  <c r="AQ20" i="4" s="1"/>
  <c r="AS20" i="4" s="1"/>
  <c r="AE20" i="4"/>
  <c r="AG20" i="4" s="1"/>
  <c r="AD20" i="4"/>
  <c r="AH20" i="4" s="1"/>
  <c r="AC20" i="4"/>
  <c r="AB20" i="4"/>
  <c r="Y20" i="4"/>
  <c r="X20" i="4"/>
  <c r="U20" i="4"/>
  <c r="T20" i="4"/>
  <c r="Q20" i="4"/>
  <c r="P20" i="4"/>
  <c r="M20" i="4"/>
  <c r="L20" i="4"/>
  <c r="I20" i="4"/>
  <c r="H20" i="4"/>
  <c r="E20" i="4"/>
  <c r="D20" i="4"/>
  <c r="AO19" i="4"/>
  <c r="AN19" i="4"/>
  <c r="AH19" i="4"/>
  <c r="AG19" i="4"/>
  <c r="AE19" i="4"/>
  <c r="AI19" i="4" s="1"/>
  <c r="AD19" i="4"/>
  <c r="AF19" i="4" s="1"/>
  <c r="AC19" i="4"/>
  <c r="AB19" i="4"/>
  <c r="Y19" i="4"/>
  <c r="X19" i="4"/>
  <c r="U19" i="4"/>
  <c r="T19" i="4"/>
  <c r="Q19" i="4"/>
  <c r="P19" i="4"/>
  <c r="M19" i="4"/>
  <c r="L19" i="4"/>
  <c r="I19" i="4"/>
  <c r="H19" i="4"/>
  <c r="E19" i="4"/>
  <c r="D19" i="4"/>
  <c r="AC18" i="4"/>
  <c r="AA18" i="4"/>
  <c r="AA37" i="4" s="1"/>
  <c r="Z18" i="4"/>
  <c r="W18" i="4"/>
  <c r="W37" i="4" s="1"/>
  <c r="W38" i="4" s="1"/>
  <c r="V18" i="4"/>
  <c r="AD18" i="4" s="1"/>
  <c r="U18" i="4"/>
  <c r="S18" i="4"/>
  <c r="S37" i="4" s="1"/>
  <c r="R18" i="4"/>
  <c r="O18" i="4"/>
  <c r="O37" i="4" s="1"/>
  <c r="Q37" i="4" s="1"/>
  <c r="N18" i="4"/>
  <c r="M18" i="4"/>
  <c r="K18" i="4"/>
  <c r="J18" i="4"/>
  <c r="G18" i="4"/>
  <c r="F18" i="4"/>
  <c r="E18" i="4"/>
  <c r="C18" i="4"/>
  <c r="B18" i="4"/>
  <c r="AO17" i="4"/>
  <c r="AM17" i="4"/>
  <c r="AL17" i="4"/>
  <c r="AN17" i="4" s="1"/>
  <c r="AI17" i="4"/>
  <c r="AK17" i="4" s="1"/>
  <c r="AG17" i="4"/>
  <c r="AE17" i="4"/>
  <c r="AD17" i="4"/>
  <c r="AF17" i="4" s="1"/>
  <c r="AC17" i="4"/>
  <c r="AB17" i="4"/>
  <c r="Y17" i="4"/>
  <c r="X17" i="4"/>
  <c r="U17" i="4"/>
  <c r="T17" i="4"/>
  <c r="Q17" i="4"/>
  <c r="P17" i="4"/>
  <c r="M17" i="4"/>
  <c r="L17" i="4"/>
  <c r="I17" i="4"/>
  <c r="H17" i="4"/>
  <c r="E17" i="4"/>
  <c r="D17" i="4"/>
  <c r="AO16" i="4"/>
  <c r="AM16" i="4"/>
  <c r="AN16" i="4" s="1"/>
  <c r="AL16" i="4"/>
  <c r="AH16" i="4"/>
  <c r="AJ16" i="4" s="1"/>
  <c r="AG16" i="4"/>
  <c r="AE16" i="4"/>
  <c r="AI16" i="4" s="1"/>
  <c r="AD16" i="4"/>
  <c r="AC16" i="4"/>
  <c r="AB16" i="4"/>
  <c r="Y16" i="4"/>
  <c r="X16" i="4"/>
  <c r="U16" i="4"/>
  <c r="T16" i="4"/>
  <c r="Q16" i="4"/>
  <c r="P16" i="4"/>
  <c r="M16" i="4"/>
  <c r="L16" i="4"/>
  <c r="I16" i="4"/>
  <c r="H16" i="4"/>
  <c r="E16" i="4"/>
  <c r="D16" i="4"/>
  <c r="AM15" i="4"/>
  <c r="AO15" i="4" s="1"/>
  <c r="AL15" i="4"/>
  <c r="AH15" i="4"/>
  <c r="AE15" i="4"/>
  <c r="AI15" i="4" s="1"/>
  <c r="AD15" i="4"/>
  <c r="AC15" i="4"/>
  <c r="AB15" i="4"/>
  <c r="Y15" i="4"/>
  <c r="X15" i="4"/>
  <c r="U15" i="4"/>
  <c r="T15" i="4"/>
  <c r="Q15" i="4"/>
  <c r="P15" i="4"/>
  <c r="M15" i="4"/>
  <c r="L15" i="4"/>
  <c r="I15" i="4"/>
  <c r="H15" i="4"/>
  <c r="E15" i="4"/>
  <c r="D15" i="4"/>
  <c r="AM14" i="4"/>
  <c r="AO14" i="4" s="1"/>
  <c r="AL14" i="4"/>
  <c r="AN14" i="4" s="1"/>
  <c r="AK14" i="4"/>
  <c r="AI14" i="4"/>
  <c r="AQ14" i="4" s="1"/>
  <c r="AE14" i="4"/>
  <c r="AG14" i="4" s="1"/>
  <c r="AD14" i="4"/>
  <c r="AH14" i="4" s="1"/>
  <c r="AC14" i="4"/>
  <c r="AB14" i="4"/>
  <c r="Y14" i="4"/>
  <c r="X14" i="4"/>
  <c r="U14" i="4"/>
  <c r="T14" i="4"/>
  <c r="Q14" i="4"/>
  <c r="P14" i="4"/>
  <c r="M14" i="4"/>
  <c r="L14" i="4"/>
  <c r="I14" i="4"/>
  <c r="H14" i="4"/>
  <c r="E14" i="4"/>
  <c r="D14" i="4"/>
  <c r="AO13" i="4"/>
  <c r="AM13" i="4"/>
  <c r="AL13" i="4"/>
  <c r="AN13" i="4" s="1"/>
  <c r="AI13" i="4"/>
  <c r="AQ13" i="4" s="1"/>
  <c r="AG13" i="4"/>
  <c r="AE13" i="4"/>
  <c r="AD13" i="4"/>
  <c r="AF13" i="4" s="1"/>
  <c r="AC13" i="4"/>
  <c r="AB13" i="4"/>
  <c r="Y13" i="4"/>
  <c r="X13" i="4"/>
  <c r="U13" i="4"/>
  <c r="T13" i="4"/>
  <c r="Q13" i="4"/>
  <c r="P13" i="4"/>
  <c r="M13" i="4"/>
  <c r="L13" i="4"/>
  <c r="I13" i="4"/>
  <c r="H13" i="4"/>
  <c r="E13" i="4"/>
  <c r="D13" i="4"/>
  <c r="AO12" i="4"/>
  <c r="AM12" i="4"/>
  <c r="AN12" i="4" s="1"/>
  <c r="AL12" i="4"/>
  <c r="AH12" i="4"/>
  <c r="AG12" i="4"/>
  <c r="AE12" i="4"/>
  <c r="AI12" i="4" s="1"/>
  <c r="AD12" i="4"/>
  <c r="AC12" i="4"/>
  <c r="AB12" i="4"/>
  <c r="Y12" i="4"/>
  <c r="X12" i="4"/>
  <c r="U12" i="4"/>
  <c r="T12" i="4"/>
  <c r="Q12" i="4"/>
  <c r="P12" i="4"/>
  <c r="M12" i="4"/>
  <c r="L12" i="4"/>
  <c r="I12" i="4"/>
  <c r="H12" i="4"/>
  <c r="E12" i="4"/>
  <c r="D12" i="4"/>
  <c r="AM11" i="4"/>
  <c r="AO11" i="4" s="1"/>
  <c r="AL11" i="4"/>
  <c r="AH11" i="4"/>
  <c r="AE11" i="4"/>
  <c r="AF11" i="4" s="1"/>
  <c r="AD11" i="4"/>
  <c r="AC11" i="4"/>
  <c r="AB11" i="4"/>
  <c r="Y11" i="4"/>
  <c r="X11" i="4"/>
  <c r="U11" i="4"/>
  <c r="T11" i="4"/>
  <c r="Q11" i="4"/>
  <c r="P11" i="4"/>
  <c r="M11" i="4"/>
  <c r="L11" i="4"/>
  <c r="I11" i="4"/>
  <c r="H11" i="4"/>
  <c r="E11" i="4"/>
  <c r="D11" i="4"/>
  <c r="AM10" i="4"/>
  <c r="AO10" i="4" s="1"/>
  <c r="AL10" i="4"/>
  <c r="AN10" i="4" s="1"/>
  <c r="AK10" i="4"/>
  <c r="AI10" i="4"/>
  <c r="AQ10" i="4" s="1"/>
  <c r="AE10" i="4"/>
  <c r="AG10" i="4" s="1"/>
  <c r="AD10" i="4"/>
  <c r="AH10" i="4" s="1"/>
  <c r="AC10" i="4"/>
  <c r="AB10" i="4"/>
  <c r="Y10" i="4"/>
  <c r="X10" i="4"/>
  <c r="U10" i="4"/>
  <c r="T10" i="4"/>
  <c r="Q10" i="4"/>
  <c r="P10" i="4"/>
  <c r="M10" i="4"/>
  <c r="L10" i="4"/>
  <c r="I10" i="4"/>
  <c r="H10" i="4"/>
  <c r="E10" i="4"/>
  <c r="D10" i="4"/>
  <c r="AO9" i="4"/>
  <c r="AM9" i="4"/>
  <c r="AL9" i="4"/>
  <c r="AN9" i="4" s="1"/>
  <c r="AI9" i="4"/>
  <c r="AQ9" i="4" s="1"/>
  <c r="AG9" i="4"/>
  <c r="AE9" i="4"/>
  <c r="AD9" i="4"/>
  <c r="AF9" i="4" s="1"/>
  <c r="AC9" i="4"/>
  <c r="AB9" i="4"/>
  <c r="Y9" i="4"/>
  <c r="X9" i="4"/>
  <c r="U9" i="4"/>
  <c r="T9" i="4"/>
  <c r="Q9" i="4"/>
  <c r="P9" i="4"/>
  <c r="M9" i="4"/>
  <c r="L9" i="4"/>
  <c r="I9" i="4"/>
  <c r="H9" i="4"/>
  <c r="E9" i="4"/>
  <c r="D9" i="4"/>
  <c r="AP8" i="4"/>
  <c r="AO8" i="4"/>
  <c r="AN8" i="4"/>
  <c r="AH8" i="4"/>
  <c r="AE8" i="4"/>
  <c r="AF8" i="4" s="1"/>
  <c r="AD8" i="4"/>
  <c r="AC8" i="4"/>
  <c r="AB8" i="4"/>
  <c r="Y8" i="4"/>
  <c r="X8" i="4"/>
  <c r="U8" i="4"/>
  <c r="T8" i="4"/>
  <c r="Q8" i="4"/>
  <c r="P8" i="4"/>
  <c r="M8" i="4"/>
  <c r="L8" i="4"/>
  <c r="I8" i="4"/>
  <c r="H8" i="4"/>
  <c r="E8" i="4"/>
  <c r="D8" i="4"/>
  <c r="E41" i="17" l="1"/>
  <c r="F41" i="17"/>
  <c r="F55" i="17"/>
  <c r="C26" i="17"/>
  <c r="E26" i="17" s="1"/>
  <c r="E25" i="17"/>
  <c r="F33" i="17"/>
  <c r="E81" i="17"/>
  <c r="C85" i="17"/>
  <c r="F22" i="17"/>
  <c r="E22" i="17"/>
  <c r="D26" i="17"/>
  <c r="F25" i="17"/>
  <c r="F59" i="17"/>
  <c r="D85" i="17"/>
  <c r="F85" i="17" s="1"/>
  <c r="F81" i="17"/>
  <c r="C18" i="17"/>
  <c r="E30" i="17"/>
  <c r="E32" i="17"/>
  <c r="D49" i="17"/>
  <c r="F49" i="17" s="1"/>
  <c r="E62" i="17"/>
  <c r="E64" i="17"/>
  <c r="F21" i="17"/>
  <c r="C33" i="17"/>
  <c r="E33" i="17" s="1"/>
  <c r="E38" i="17"/>
  <c r="E56" i="17"/>
  <c r="E78" i="17"/>
  <c r="E24" i="17"/>
  <c r="F38" i="17"/>
  <c r="F56" i="17"/>
  <c r="E65" i="17"/>
  <c r="F78" i="17"/>
  <c r="F24" i="17"/>
  <c r="E31" i="17"/>
  <c r="C59" i="17"/>
  <c r="E59" i="17" s="1"/>
  <c r="E61" i="17"/>
  <c r="E63" i="17"/>
  <c r="C74" i="17"/>
  <c r="E74" i="17" s="1"/>
  <c r="G67" i="12"/>
  <c r="I67" i="12" s="1"/>
  <c r="I36" i="12"/>
  <c r="L28" i="12"/>
  <c r="J21" i="12"/>
  <c r="L21" i="12" s="1"/>
  <c r="J36" i="12"/>
  <c r="D67" i="12"/>
  <c r="J67" i="12"/>
  <c r="B29" i="12"/>
  <c r="C30" i="12"/>
  <c r="J66" i="12"/>
  <c r="L66" i="12" s="1"/>
  <c r="J77" i="12"/>
  <c r="D29" i="12"/>
  <c r="D30" i="12" s="1"/>
  <c r="D68" i="12" s="1"/>
  <c r="D78" i="12" s="1"/>
  <c r="G22" i="12"/>
  <c r="I21" i="12"/>
  <c r="B53" i="12"/>
  <c r="L53" i="12" s="1"/>
  <c r="B73" i="12"/>
  <c r="L55" i="12"/>
  <c r="L17" i="12"/>
  <c r="J34" i="12"/>
  <c r="L34" i="12" s="1"/>
  <c r="B49" i="12"/>
  <c r="L49" i="12" s="1"/>
  <c r="I20" i="12"/>
  <c r="J20" i="12" s="1"/>
  <c r="L20" i="12" s="1"/>
  <c r="D22" i="12"/>
  <c r="L38" i="12"/>
  <c r="L36" i="12"/>
  <c r="I27" i="12"/>
  <c r="J27" i="12" s="1"/>
  <c r="L27" i="12" s="1"/>
  <c r="I35" i="12"/>
  <c r="J35" i="12" s="1"/>
  <c r="L35" i="12" s="1"/>
  <c r="I73" i="12"/>
  <c r="J73" i="12" s="1"/>
  <c r="G28" i="16"/>
  <c r="G43" i="16"/>
  <c r="G49" i="16"/>
  <c r="G36" i="16"/>
  <c r="D67" i="16"/>
  <c r="F67" i="16"/>
  <c r="F68" i="16" s="1"/>
  <c r="F78" i="16" s="1"/>
  <c r="G17" i="16"/>
  <c r="B29" i="16"/>
  <c r="D29" i="16"/>
  <c r="D30" i="16" s="1"/>
  <c r="C67" i="16"/>
  <c r="B22" i="16"/>
  <c r="G22" i="16" s="1"/>
  <c r="G21" i="16"/>
  <c r="G53" i="16"/>
  <c r="G60" i="16"/>
  <c r="C17" i="16"/>
  <c r="C29" i="16" s="1"/>
  <c r="C30" i="16" s="1"/>
  <c r="C68" i="16" s="1"/>
  <c r="C78" i="16" s="1"/>
  <c r="G46" i="16"/>
  <c r="B73" i="16"/>
  <c r="G26" i="16"/>
  <c r="G38" i="16"/>
  <c r="E53" i="16"/>
  <c r="E67" i="16" s="1"/>
  <c r="E68" i="16" s="1"/>
  <c r="E78" i="16" s="1"/>
  <c r="G55" i="16"/>
  <c r="G25" i="16"/>
  <c r="G75" i="16"/>
  <c r="B66" i="16"/>
  <c r="G66" i="16" s="1"/>
  <c r="D82" i="3"/>
  <c r="D83" i="3"/>
  <c r="D87" i="3" s="1"/>
  <c r="D93" i="3" s="1"/>
  <c r="C82" i="3"/>
  <c r="C83" i="3" s="1"/>
  <c r="C87" i="3" s="1"/>
  <c r="C93" i="3" s="1"/>
  <c r="AK19" i="4"/>
  <c r="AQ19" i="4"/>
  <c r="AS19" i="4" s="1"/>
  <c r="AQ15" i="4"/>
  <c r="AS15" i="4" s="1"/>
  <c r="AK15" i="4"/>
  <c r="AJ15" i="4"/>
  <c r="S38" i="4"/>
  <c r="U37" i="4"/>
  <c r="AJ19" i="4"/>
  <c r="F37" i="4"/>
  <c r="AF23" i="4"/>
  <c r="AQ26" i="4"/>
  <c r="AS26" i="4" s="1"/>
  <c r="AK26" i="4"/>
  <c r="AR26" i="4"/>
  <c r="AP10" i="4"/>
  <c r="AR10" i="4" s="1"/>
  <c r="AJ10" i="4"/>
  <c r="AK12" i="4"/>
  <c r="AQ12" i="4"/>
  <c r="AP20" i="4"/>
  <c r="AR20" i="4" s="1"/>
  <c r="AJ20" i="4"/>
  <c r="AK21" i="4"/>
  <c r="AQ21" i="4"/>
  <c r="AS21" i="4" s="1"/>
  <c r="N28" i="4"/>
  <c r="P28" i="4" s="1"/>
  <c r="P27" i="4"/>
  <c r="AJ30" i="4"/>
  <c r="AP30" i="4"/>
  <c r="AR30" i="4" s="1"/>
  <c r="AP14" i="4"/>
  <c r="AR14" i="4" s="1"/>
  <c r="AJ14" i="4"/>
  <c r="AK16" i="4"/>
  <c r="AQ16" i="4"/>
  <c r="AA38" i="4"/>
  <c r="AC37" i="4"/>
  <c r="AS10" i="4"/>
  <c r="AJ12" i="4"/>
  <c r="Y38" i="4"/>
  <c r="AJ21" i="4"/>
  <c r="AP21" i="4"/>
  <c r="AR21" i="4" s="1"/>
  <c r="AH27" i="4"/>
  <c r="AM18" i="4"/>
  <c r="AN15" i="4"/>
  <c r="P18" i="4"/>
  <c r="AC44" i="4"/>
  <c r="AQ86" i="4"/>
  <c r="AS86" i="4" s="1"/>
  <c r="AK86" i="4"/>
  <c r="AQ22" i="4"/>
  <c r="AS22" i="4" s="1"/>
  <c r="G23" i="4"/>
  <c r="AE23" i="4"/>
  <c r="AG23" i="4" s="1"/>
  <c r="AQ24" i="4"/>
  <c r="AS24" i="4" s="1"/>
  <c r="AH25" i="4"/>
  <c r="J28" i="4"/>
  <c r="L28" i="4" s="1"/>
  <c r="V28" i="4"/>
  <c r="C37" i="4"/>
  <c r="V81" i="4"/>
  <c r="X44" i="4"/>
  <c r="AI46" i="4"/>
  <c r="AF46" i="4"/>
  <c r="AP48" i="4"/>
  <c r="AR48" i="4" s="1"/>
  <c r="D48" i="4"/>
  <c r="AF58" i="4"/>
  <c r="B88" i="4"/>
  <c r="AP84" i="4"/>
  <c r="D84" i="4"/>
  <c r="AR40" i="4"/>
  <c r="B81" i="4"/>
  <c r="D44" i="4"/>
  <c r="AP46" i="4"/>
  <c r="AQ71" i="4"/>
  <c r="E71" i="4"/>
  <c r="AP16" i="4"/>
  <c r="AR16" i="4" s="1"/>
  <c r="H18" i="4"/>
  <c r="K82" i="4"/>
  <c r="M38" i="4"/>
  <c r="AO51" i="4"/>
  <c r="AN51" i="4"/>
  <c r="AI75" i="4"/>
  <c r="AK75" i="4" s="1"/>
  <c r="AG75" i="4"/>
  <c r="AI80" i="4"/>
  <c r="AK80" i="4" s="1"/>
  <c r="E92" i="4"/>
  <c r="AH9" i="4"/>
  <c r="AF12" i="4"/>
  <c r="AH13" i="4"/>
  <c r="AF16" i="4"/>
  <c r="AH17" i="4"/>
  <c r="AL18" i="4"/>
  <c r="AP19" i="4"/>
  <c r="AR19" i="4" s="1"/>
  <c r="AH22" i="4"/>
  <c r="H23" i="4"/>
  <c r="X23" i="4"/>
  <c r="AH24" i="4"/>
  <c r="AI25" i="4"/>
  <c r="D27" i="4"/>
  <c r="Y28" i="4"/>
  <c r="D32" i="4"/>
  <c r="AP34" i="4"/>
  <c r="AR34" i="4" s="1"/>
  <c r="AE36" i="4"/>
  <c r="AG36" i="4" s="1"/>
  <c r="AK41" i="4"/>
  <c r="F81" i="4"/>
  <c r="H44" i="4"/>
  <c r="AJ45" i="4"/>
  <c r="C51" i="4"/>
  <c r="D46" i="4"/>
  <c r="AG46" i="4"/>
  <c r="AQ48" i="4"/>
  <c r="AK57" i="4"/>
  <c r="AJ57" i="4"/>
  <c r="AQ57" i="4"/>
  <c r="AS57" i="4" s="1"/>
  <c r="AJ61" i="4"/>
  <c r="AP61" i="4"/>
  <c r="AR61" i="4" s="1"/>
  <c r="AQ67" i="4"/>
  <c r="E67" i="4"/>
  <c r="N93" i="4"/>
  <c r="P93" i="4" s="1"/>
  <c r="P88" i="4"/>
  <c r="AF92" i="4"/>
  <c r="AQ17" i="4"/>
  <c r="AE18" i="4"/>
  <c r="AG18" i="4" s="1"/>
  <c r="AI45" i="4"/>
  <c r="AG45" i="4"/>
  <c r="AN11" i="4"/>
  <c r="AP12" i="4"/>
  <c r="AR12" i="4" s="1"/>
  <c r="AG8" i="4"/>
  <c r="AK9" i="4"/>
  <c r="AG11" i="4"/>
  <c r="AK13" i="4"/>
  <c r="AG15" i="4"/>
  <c r="I18" i="4"/>
  <c r="Q18" i="4"/>
  <c r="Y18" i="4"/>
  <c r="H21" i="4"/>
  <c r="AG26" i="4"/>
  <c r="G27" i="4"/>
  <c r="AE27" i="4"/>
  <c r="AG27" i="4" s="1"/>
  <c r="D28" i="4"/>
  <c r="AI36" i="4"/>
  <c r="AK36" i="4" s="1"/>
  <c r="AN36" i="4"/>
  <c r="M37" i="4"/>
  <c r="AJ40" i="4"/>
  <c r="J44" i="4"/>
  <c r="AH41" i="4"/>
  <c r="L41" i="4"/>
  <c r="R44" i="4"/>
  <c r="AH42" i="4"/>
  <c r="N81" i="4"/>
  <c r="P81" i="4" s="1"/>
  <c r="P44" i="4"/>
  <c r="AD44" i="4"/>
  <c r="AF44" i="4" s="1"/>
  <c r="X51" i="4"/>
  <c r="AD51" i="4"/>
  <c r="AF51" i="4" s="1"/>
  <c r="AK53" i="4"/>
  <c r="AJ53" i="4"/>
  <c r="Y37" i="4"/>
  <c r="AE37" i="4"/>
  <c r="AG37" i="4" s="1"/>
  <c r="AF15" i="4"/>
  <c r="X18" i="4"/>
  <c r="AP23" i="4"/>
  <c r="P25" i="4"/>
  <c r="AD27" i="4"/>
  <c r="AF27" i="4" s="1"/>
  <c r="C58" i="4"/>
  <c r="AQ53" i="4"/>
  <c r="AS53" i="4" s="1"/>
  <c r="E53" i="4"/>
  <c r="D53" i="4"/>
  <c r="AF10" i="4"/>
  <c r="AP11" i="4"/>
  <c r="AF14" i="4"/>
  <c r="AP15" i="4"/>
  <c r="B37" i="4"/>
  <c r="J37" i="4"/>
  <c r="R37" i="4"/>
  <c r="Z37" i="4"/>
  <c r="AH18" i="4"/>
  <c r="AP18" i="4" s="1"/>
  <c r="AF20" i="4"/>
  <c r="I21" i="4"/>
  <c r="L23" i="4"/>
  <c r="T23" i="4"/>
  <c r="H26" i="4"/>
  <c r="H27" i="4"/>
  <c r="E28" i="4"/>
  <c r="AF30" i="4"/>
  <c r="E36" i="4"/>
  <c r="AQ36" i="4"/>
  <c r="I36" i="4"/>
  <c r="O38" i="4"/>
  <c r="T42" i="4"/>
  <c r="AF42" i="4"/>
  <c r="AI43" i="4"/>
  <c r="I43" i="4"/>
  <c r="X43" i="4"/>
  <c r="AD43" i="4"/>
  <c r="AP49" i="4"/>
  <c r="AJ64" i="4"/>
  <c r="AP64" i="4"/>
  <c r="AR64" i="4" s="1"/>
  <c r="AS68" i="4"/>
  <c r="AP69" i="4"/>
  <c r="AJ69" i="4"/>
  <c r="AQ73" i="4"/>
  <c r="AS73" i="4" s="1"/>
  <c r="AK73" i="4"/>
  <c r="AQ75" i="4"/>
  <c r="AS75" i="4" s="1"/>
  <c r="AJ85" i="4"/>
  <c r="AP85" i="4"/>
  <c r="AL93" i="4"/>
  <c r="AN93" i="4" s="1"/>
  <c r="AN88" i="4"/>
  <c r="AN29" i="4"/>
  <c r="AF45" i="4"/>
  <c r="AI56" i="4"/>
  <c r="AK56" i="4" s="1"/>
  <c r="AG56" i="4"/>
  <c r="AI8" i="4"/>
  <c r="AI11" i="4"/>
  <c r="AJ11" i="4" s="1"/>
  <c r="M23" i="4"/>
  <c r="U23" i="4"/>
  <c r="AC23" i="4"/>
  <c r="H25" i="4"/>
  <c r="I26" i="4"/>
  <c r="AI29" i="4"/>
  <c r="AG29" i="4"/>
  <c r="AR31" i="4"/>
  <c r="AI33" i="4"/>
  <c r="AK33" i="4" s="1"/>
  <c r="AG33" i="4"/>
  <c r="V36" i="4"/>
  <c r="AD35" i="4"/>
  <c r="AF35" i="4" s="1"/>
  <c r="X35" i="4"/>
  <c r="H43" i="4"/>
  <c r="AQ47" i="4"/>
  <c r="AS47" i="4" s="1"/>
  <c r="AH48" i="4"/>
  <c r="AJ48" i="4" s="1"/>
  <c r="AF48" i="4"/>
  <c r="E49" i="4"/>
  <c r="AF49" i="4"/>
  <c r="AJ52" i="4"/>
  <c r="AJ67" i="4"/>
  <c r="AP67" i="4"/>
  <c r="AR67" i="4" s="1"/>
  <c r="M44" i="4"/>
  <c r="AJ47" i="4"/>
  <c r="AK64" i="4"/>
  <c r="AQ64" i="4"/>
  <c r="AS64" i="4" s="1"/>
  <c r="D18" i="4"/>
  <c r="L18" i="4"/>
  <c r="T18" i="4"/>
  <c r="AB18" i="4"/>
  <c r="AF29" i="4"/>
  <c r="AH32" i="4"/>
  <c r="AJ32" i="4" s="1"/>
  <c r="AF32" i="4"/>
  <c r="E33" i="4"/>
  <c r="AF33" i="4"/>
  <c r="AQ40" i="4"/>
  <c r="AS40" i="4" s="1"/>
  <c r="AI42" i="4"/>
  <c r="I42" i="4"/>
  <c r="G44" i="4"/>
  <c r="H42" i="4"/>
  <c r="AB44" i="4"/>
  <c r="U44" i="4"/>
  <c r="AL81" i="4"/>
  <c r="AN81" i="4" s="1"/>
  <c r="AN44" i="4"/>
  <c r="AP45" i="4"/>
  <c r="D49" i="4"/>
  <c r="B51" i="4"/>
  <c r="V93" i="4"/>
  <c r="X88" i="4"/>
  <c r="AD88" i="4"/>
  <c r="AF88" i="4" s="1"/>
  <c r="E34" i="4"/>
  <c r="AI61" i="4"/>
  <c r="AK61" i="4" s="1"/>
  <c r="AG61" i="4"/>
  <c r="AF61" i="4"/>
  <c r="D67" i="4"/>
  <c r="AP71" i="4"/>
  <c r="AR71" i="4" s="1"/>
  <c r="AO80" i="4"/>
  <c r="AJ75" i="4"/>
  <c r="AI78" i="4"/>
  <c r="AG78" i="4"/>
  <c r="AF78" i="4"/>
  <c r="AH80" i="4"/>
  <c r="H80" i="4"/>
  <c r="AI84" i="4"/>
  <c r="AG84" i="4"/>
  <c r="Y93" i="4"/>
  <c r="AE93" i="4"/>
  <c r="AG93" i="4" s="1"/>
  <c r="AP55" i="4"/>
  <c r="AP59" i="4"/>
  <c r="AR59" i="4" s="1"/>
  <c r="AJ59" i="4"/>
  <c r="AP60" i="4"/>
  <c r="AQ61" i="4"/>
  <c r="E61" i="4"/>
  <c r="D61" i="4"/>
  <c r="AH63" i="4"/>
  <c r="AJ63" i="4" s="1"/>
  <c r="AD63" i="4"/>
  <c r="AF63" i="4" s="1"/>
  <c r="AR77" i="4"/>
  <c r="AI90" i="4"/>
  <c r="AG90" i="4"/>
  <c r="W81" i="4"/>
  <c r="AE44" i="4"/>
  <c r="AG44" i="4" s="1"/>
  <c r="AM81" i="4"/>
  <c r="AI49" i="4"/>
  <c r="AK49" i="4" s="1"/>
  <c r="AS54" i="4"/>
  <c r="AI55" i="4"/>
  <c r="AK55" i="4" s="1"/>
  <c r="AG55" i="4"/>
  <c r="AF55" i="4"/>
  <c r="C63" i="4"/>
  <c r="AP66" i="4"/>
  <c r="AP68" i="4"/>
  <c r="AR68" i="4" s="1"/>
  <c r="AP70" i="4"/>
  <c r="AI74" i="4"/>
  <c r="AQ74" i="4" s="1"/>
  <c r="AG74" i="4"/>
  <c r="AF74" i="4"/>
  <c r="E75" i="4"/>
  <c r="AJ77" i="4"/>
  <c r="AR86" i="4"/>
  <c r="AH88" i="4"/>
  <c r="AJ88" i="4" s="1"/>
  <c r="F93" i="4"/>
  <c r="H88" i="4"/>
  <c r="B92" i="4"/>
  <c r="AP90" i="4"/>
  <c r="D90" i="4"/>
  <c r="AJ90" i="4"/>
  <c r="D35" i="4"/>
  <c r="AP50" i="4"/>
  <c r="AR50" i="4" s="1"/>
  <c r="AI51" i="4"/>
  <c r="AK51" i="4" s="1"/>
  <c r="AF52" i="4"/>
  <c r="AQ62" i="4"/>
  <c r="H63" i="4"/>
  <c r="AI66" i="4"/>
  <c r="AK66" i="4" s="1"/>
  <c r="AG66" i="4"/>
  <c r="AF66" i="4"/>
  <c r="AI70" i="4"/>
  <c r="AK70" i="4" s="1"/>
  <c r="AG70" i="4"/>
  <c r="AF70" i="4"/>
  <c r="AJ72" i="4"/>
  <c r="AP73" i="4"/>
  <c r="AJ73" i="4"/>
  <c r="AI88" i="4"/>
  <c r="AK88" i="4" s="1"/>
  <c r="E32" i="4"/>
  <c r="H41" i="4"/>
  <c r="Q44" i="4"/>
  <c r="Y44" i="4"/>
  <c r="AO44" i="4"/>
  <c r="E48" i="4"/>
  <c r="AQ50" i="4"/>
  <c r="AQ55" i="4"/>
  <c r="AS55" i="4" s="1"/>
  <c r="E55" i="4"/>
  <c r="D55" i="4"/>
  <c r="AH58" i="4"/>
  <c r="AK60" i="4"/>
  <c r="AJ62" i="4"/>
  <c r="AP65" i="4"/>
  <c r="AR65" i="4" s="1"/>
  <c r="AJ65" i="4"/>
  <c r="AP80" i="4"/>
  <c r="E74" i="4"/>
  <c r="D74" i="4"/>
  <c r="AJ76" i="4"/>
  <c r="AP79" i="4"/>
  <c r="AR79" i="4" s="1"/>
  <c r="AK85" i="4"/>
  <c r="AQ85" i="4"/>
  <c r="AS85" i="4" s="1"/>
  <c r="AQ88" i="4"/>
  <c r="C93" i="4"/>
  <c r="E88" i="4"/>
  <c r="AF87" i="4"/>
  <c r="AH92" i="4"/>
  <c r="AB43" i="4"/>
  <c r="D47" i="4"/>
  <c r="AG50" i="4"/>
  <c r="B58" i="4"/>
  <c r="AJ56" i="4"/>
  <c r="AI58" i="4"/>
  <c r="AK58" i="4" s="1"/>
  <c r="C80" i="4"/>
  <c r="AQ66" i="4"/>
  <c r="AS66" i="4" s="1"/>
  <c r="E66" i="4"/>
  <c r="D66" i="4"/>
  <c r="AQ69" i="4"/>
  <c r="AS69" i="4" s="1"/>
  <c r="AK69" i="4"/>
  <c r="E70" i="4"/>
  <c r="D70" i="4"/>
  <c r="AS79" i="4"/>
  <c r="AJ86" i="4"/>
  <c r="D56" i="4"/>
  <c r="AF56" i="4"/>
  <c r="H58" i="4"/>
  <c r="X58" i="4"/>
  <c r="E62" i="4"/>
  <c r="AG62" i="4"/>
  <c r="AG64" i="4"/>
  <c r="E68" i="4"/>
  <c r="AG68" i="4"/>
  <c r="D71" i="4"/>
  <c r="AF71" i="4"/>
  <c r="AQ72" i="4"/>
  <c r="AS72" i="4" s="1"/>
  <c r="D75" i="4"/>
  <c r="AF75" i="4"/>
  <c r="AQ76" i="4"/>
  <c r="AS76" i="4" s="1"/>
  <c r="AG85" i="4"/>
  <c r="M88" i="4"/>
  <c r="U88" i="4"/>
  <c r="AC88" i="4"/>
  <c r="E91" i="4"/>
  <c r="AG91" i="4"/>
  <c r="AQ91" i="4"/>
  <c r="AS91" i="4" s="1"/>
  <c r="AE92" i="4"/>
  <c r="AG92" i="4" s="1"/>
  <c r="AE80" i="4"/>
  <c r="AG80" i="4" s="1"/>
  <c r="E87" i="4"/>
  <c r="AQ87" i="4"/>
  <c r="AS87" i="4" s="1"/>
  <c r="AE88" i="4"/>
  <c r="AG88" i="4" s="1"/>
  <c r="I92" i="4"/>
  <c r="B63" i="4"/>
  <c r="D60" i="4"/>
  <c r="AF60" i="4"/>
  <c r="AF65" i="4"/>
  <c r="AF73" i="4"/>
  <c r="I80" i="4"/>
  <c r="G93" i="4"/>
  <c r="C75" i="17" l="1"/>
  <c r="E75" i="17" s="1"/>
  <c r="F26" i="17"/>
  <c r="D34" i="17"/>
  <c r="C34" i="17"/>
  <c r="E18" i="17"/>
  <c r="F18" i="17"/>
  <c r="F74" i="17"/>
  <c r="D75" i="17"/>
  <c r="E49" i="17"/>
  <c r="E85" i="17"/>
  <c r="B67" i="12"/>
  <c r="L67" i="12" s="1"/>
  <c r="B77" i="12"/>
  <c r="L77" i="12" s="1"/>
  <c r="L73" i="12"/>
  <c r="C68" i="12"/>
  <c r="G29" i="12"/>
  <c r="I22" i="12"/>
  <c r="J22" i="12" s="1"/>
  <c r="L22" i="12" s="1"/>
  <c r="B30" i="12"/>
  <c r="G73" i="16"/>
  <c r="B77" i="16"/>
  <c r="G77" i="16" s="1"/>
  <c r="B67" i="16"/>
  <c r="G67" i="16" s="1"/>
  <c r="D68" i="16"/>
  <c r="D78" i="16" s="1"/>
  <c r="B30" i="16"/>
  <c r="G29" i="16"/>
  <c r="AS74" i="4"/>
  <c r="AR74" i="4"/>
  <c r="AR60" i="4"/>
  <c r="AS60" i="4"/>
  <c r="AB37" i="4"/>
  <c r="Z38" i="4"/>
  <c r="AP41" i="4"/>
  <c r="AR41" i="4" s="1"/>
  <c r="AJ41" i="4"/>
  <c r="I27" i="4"/>
  <c r="AI27" i="4"/>
  <c r="AQ51" i="4"/>
  <c r="E51" i="4"/>
  <c r="K94" i="4"/>
  <c r="M94" i="4" s="1"/>
  <c r="M82" i="4"/>
  <c r="D81" i="4"/>
  <c r="C38" i="4"/>
  <c r="E37" i="4"/>
  <c r="AJ27" i="4"/>
  <c r="D63" i="4"/>
  <c r="AP63" i="4"/>
  <c r="AR63" i="4" s="1"/>
  <c r="AQ80" i="4"/>
  <c r="AS80" i="4" s="1"/>
  <c r="E80" i="4"/>
  <c r="D80" i="4"/>
  <c r="AJ58" i="4"/>
  <c r="H93" i="4"/>
  <c r="AQ90" i="4"/>
  <c r="AS90" i="4" s="1"/>
  <c r="AK90" i="4"/>
  <c r="AQ84" i="4"/>
  <c r="AS84" i="4" s="1"/>
  <c r="AK84" i="4"/>
  <c r="AQ49" i="4"/>
  <c r="AS49" i="4" s="1"/>
  <c r="AR76" i="4"/>
  <c r="O82" i="4"/>
  <c r="Q38" i="4"/>
  <c r="T37" i="4"/>
  <c r="R38" i="4"/>
  <c r="J81" i="4"/>
  <c r="L81" i="4" s="1"/>
  <c r="L44" i="4"/>
  <c r="AP32" i="4"/>
  <c r="X28" i="4"/>
  <c r="AD28" i="4"/>
  <c r="AF28" i="4" s="1"/>
  <c r="AF18" i="4"/>
  <c r="AS12" i="4"/>
  <c r="F38" i="4"/>
  <c r="AQ42" i="4"/>
  <c r="AK42" i="4"/>
  <c r="AP22" i="4"/>
  <c r="AR22" i="4" s="1"/>
  <c r="AJ22" i="4"/>
  <c r="AS16" i="4"/>
  <c r="AP27" i="4"/>
  <c r="I93" i="4"/>
  <c r="AI93" i="4"/>
  <c r="AK93" i="4" s="1"/>
  <c r="AQ70" i="4"/>
  <c r="AS70" i="4" s="1"/>
  <c r="AQ93" i="4"/>
  <c r="AH51" i="4"/>
  <c r="AJ51" i="4" s="1"/>
  <c r="AR57" i="4"/>
  <c r="AJ80" i="4"/>
  <c r="X93" i="4"/>
  <c r="AD93" i="4"/>
  <c r="AF93" i="4" s="1"/>
  <c r="C81" i="4"/>
  <c r="AH35" i="4"/>
  <c r="AR87" i="4"/>
  <c r="AI18" i="4"/>
  <c r="AR72" i="4"/>
  <c r="AH43" i="4"/>
  <c r="AF43" i="4"/>
  <c r="AJ33" i="4"/>
  <c r="D37" i="4"/>
  <c r="B38" i="4"/>
  <c r="E58" i="4"/>
  <c r="AQ58" i="4"/>
  <c r="AS58" i="4" s="1"/>
  <c r="AH44" i="4"/>
  <c r="AJ17" i="4"/>
  <c r="AP17" i="4"/>
  <c r="AR17" i="4" s="1"/>
  <c r="AJ25" i="4"/>
  <c r="AP25" i="4"/>
  <c r="AS14" i="4"/>
  <c r="AJ92" i="4"/>
  <c r="AJ70" i="4"/>
  <c r="D58" i="4"/>
  <c r="AP58" i="4"/>
  <c r="AR66" i="4"/>
  <c r="AR55" i="4"/>
  <c r="D51" i="4"/>
  <c r="AQ11" i="4"/>
  <c r="AS11" i="4" s="1"/>
  <c r="AK11" i="4"/>
  <c r="AR15" i="4"/>
  <c r="AR75" i="4"/>
  <c r="H81" i="4"/>
  <c r="AQ25" i="4"/>
  <c r="AS25" i="4" s="1"/>
  <c r="AK25" i="4"/>
  <c r="AS71" i="4"/>
  <c r="AJ84" i="4"/>
  <c r="AK46" i="4"/>
  <c r="AQ46" i="4"/>
  <c r="AS46" i="4" s="1"/>
  <c r="AR91" i="4"/>
  <c r="L37" i="4"/>
  <c r="J38" i="4"/>
  <c r="AS50" i="4"/>
  <c r="AJ66" i="4"/>
  <c r="AO81" i="4"/>
  <c r="AJ55" i="4"/>
  <c r="AQ29" i="4"/>
  <c r="AK29" i="4"/>
  <c r="AJ29" i="4"/>
  <c r="AQ8" i="4"/>
  <c r="AK8" i="4"/>
  <c r="AQ56" i="4"/>
  <c r="AJ42" i="4"/>
  <c r="AP42" i="4"/>
  <c r="AR42" i="4" s="1"/>
  <c r="AF80" i="4"/>
  <c r="AS48" i="4"/>
  <c r="AP24" i="4"/>
  <c r="AR24" i="4" s="1"/>
  <c r="AJ24" i="4"/>
  <c r="AJ13" i="4"/>
  <c r="AP13" i="4"/>
  <c r="AA82" i="4"/>
  <c r="AC38" i="4"/>
  <c r="AL37" i="4"/>
  <c r="AN18" i="4"/>
  <c r="AR80" i="4"/>
  <c r="AI92" i="4"/>
  <c r="AR73" i="4"/>
  <c r="E63" i="4"/>
  <c r="AQ63" i="4"/>
  <c r="AJ78" i="4"/>
  <c r="AQ78" i="4"/>
  <c r="AK78" i="4"/>
  <c r="AR47" i="4"/>
  <c r="G81" i="4"/>
  <c r="I44" i="4"/>
  <c r="AI44" i="4"/>
  <c r="AQ33" i="4"/>
  <c r="AR85" i="4"/>
  <c r="AR69" i="4"/>
  <c r="AQ43" i="4"/>
  <c r="AK43" i="4"/>
  <c r="T44" i="4"/>
  <c r="R81" i="4"/>
  <c r="T81" i="4" s="1"/>
  <c r="AJ46" i="4"/>
  <c r="AR84" i="4"/>
  <c r="AD81" i="4"/>
  <c r="AF81" i="4" s="1"/>
  <c r="X81" i="4"/>
  <c r="G28" i="4"/>
  <c r="AI23" i="4"/>
  <c r="I23" i="4"/>
  <c r="AR53" i="4"/>
  <c r="AE38" i="4"/>
  <c r="AG38" i="4" s="1"/>
  <c r="AJ8" i="4"/>
  <c r="S82" i="4"/>
  <c r="U38" i="4"/>
  <c r="AJ74" i="4"/>
  <c r="AK74" i="4"/>
  <c r="AD36" i="4"/>
  <c r="X36" i="4"/>
  <c r="AR49" i="4"/>
  <c r="AS62" i="4"/>
  <c r="AR62" i="4"/>
  <c r="D92" i="4"/>
  <c r="AP92" i="4"/>
  <c r="AE81" i="4"/>
  <c r="AG81" i="4" s="1"/>
  <c r="Y81" i="4"/>
  <c r="AS61" i="4"/>
  <c r="AQ45" i="4"/>
  <c r="AS45" i="4" s="1"/>
  <c r="AK45" i="4"/>
  <c r="AS67" i="4"/>
  <c r="AP9" i="4"/>
  <c r="AJ9" i="4"/>
  <c r="AP88" i="4"/>
  <c r="AR88" i="4" s="1"/>
  <c r="D88" i="4"/>
  <c r="B93" i="4"/>
  <c r="E93" i="4" s="1"/>
  <c r="V37" i="4"/>
  <c r="AM37" i="4"/>
  <c r="AO18" i="4"/>
  <c r="W82" i="4"/>
  <c r="N37" i="4"/>
  <c r="AJ49" i="4"/>
  <c r="F75" i="17" l="1"/>
  <c r="C35" i="17"/>
  <c r="E34" i="17"/>
  <c r="F34" i="17"/>
  <c r="D35" i="17"/>
  <c r="C78" i="12"/>
  <c r="B68" i="12"/>
  <c r="G30" i="12"/>
  <c r="I29" i="12"/>
  <c r="J29" i="12" s="1"/>
  <c r="L29" i="12" s="1"/>
  <c r="G30" i="16"/>
  <c r="B68" i="16"/>
  <c r="AK18" i="4"/>
  <c r="AQ18" i="4"/>
  <c r="AP51" i="4"/>
  <c r="AR51" i="4" s="1"/>
  <c r="B82" i="4"/>
  <c r="D38" i="4"/>
  <c r="Z82" i="4"/>
  <c r="AB38" i="4"/>
  <c r="AJ18" i="4"/>
  <c r="AL38" i="4"/>
  <c r="AN37" i="4"/>
  <c r="AR25" i="4"/>
  <c r="AP35" i="4"/>
  <c r="AR35" i="4" s="1"/>
  <c r="AJ35" i="4"/>
  <c r="AR70" i="4"/>
  <c r="J82" i="4"/>
  <c r="L38" i="4"/>
  <c r="AS33" i="4"/>
  <c r="AR33" i="4"/>
  <c r="AS63" i="4"/>
  <c r="AS29" i="4"/>
  <c r="AR29" i="4"/>
  <c r="E81" i="4"/>
  <c r="Q82" i="4"/>
  <c r="O94" i="4"/>
  <c r="Q94" i="4" s="1"/>
  <c r="AH93" i="4"/>
  <c r="AJ93" i="4" s="1"/>
  <c r="R82" i="4"/>
  <c r="T38" i="4"/>
  <c r="D93" i="4"/>
  <c r="N38" i="4"/>
  <c r="P37" i="4"/>
  <c r="AK44" i="4"/>
  <c r="AQ44" i="4"/>
  <c r="AA94" i="4"/>
  <c r="AC94" i="4" s="1"/>
  <c r="AC82" i="4"/>
  <c r="AS88" i="4"/>
  <c r="AS42" i="4"/>
  <c r="AR32" i="4"/>
  <c r="AS32" i="4"/>
  <c r="AS51" i="4"/>
  <c r="S94" i="4"/>
  <c r="U94" i="4" s="1"/>
  <c r="U82" i="4"/>
  <c r="AR45" i="4"/>
  <c r="Y82" i="4"/>
  <c r="AE82" i="4"/>
  <c r="AG82" i="4" s="1"/>
  <c r="W94" i="4"/>
  <c r="AR9" i="4"/>
  <c r="AS9" i="4"/>
  <c r="AF36" i="4"/>
  <c r="AH36" i="4"/>
  <c r="AR90" i="4"/>
  <c r="AR46" i="4"/>
  <c r="AR58" i="4"/>
  <c r="AS17" i="4"/>
  <c r="AK27" i="4"/>
  <c r="AQ27" i="4"/>
  <c r="AS27" i="4" s="1"/>
  <c r="V38" i="4"/>
  <c r="X37" i="4"/>
  <c r="AD37" i="4"/>
  <c r="AF37" i="4" s="1"/>
  <c r="AS78" i="4"/>
  <c r="AR78" i="4"/>
  <c r="AH81" i="4"/>
  <c r="AK23" i="4"/>
  <c r="AJ23" i="4"/>
  <c r="AQ23" i="4"/>
  <c r="AR11" i="4"/>
  <c r="AI81" i="4"/>
  <c r="AK81" i="4" s="1"/>
  <c r="I81" i="4"/>
  <c r="AR13" i="4"/>
  <c r="AS13" i="4"/>
  <c r="AS56" i="4"/>
  <c r="AR56" i="4"/>
  <c r="AJ44" i="4"/>
  <c r="AP44" i="4"/>
  <c r="AR44" i="4" s="1"/>
  <c r="AJ43" i="4"/>
  <c r="AP43" i="4"/>
  <c r="AR43" i="4" s="1"/>
  <c r="AH28" i="4"/>
  <c r="C82" i="4"/>
  <c r="E38" i="4"/>
  <c r="AS8" i="4"/>
  <c r="AR8" i="4"/>
  <c r="AO37" i="4"/>
  <c r="AM38" i="4"/>
  <c r="AI28" i="4"/>
  <c r="I28" i="4"/>
  <c r="H28" i="4"/>
  <c r="G37" i="4"/>
  <c r="AK92" i="4"/>
  <c r="AQ92" i="4"/>
  <c r="AS92" i="4" s="1"/>
  <c r="F82" i="4"/>
  <c r="C76" i="17" l="1"/>
  <c r="E35" i="17"/>
  <c r="D76" i="17"/>
  <c r="F35" i="17"/>
  <c r="G68" i="12"/>
  <c r="I30" i="12"/>
  <c r="J30" i="12" s="1"/>
  <c r="L30" i="12" s="1"/>
  <c r="B78" i="12"/>
  <c r="G68" i="16"/>
  <c r="B78" i="16"/>
  <c r="G78" i="16" s="1"/>
  <c r="Z94" i="4"/>
  <c r="AB94" i="4" s="1"/>
  <c r="AB82" i="4"/>
  <c r="AP93" i="4"/>
  <c r="I37" i="4"/>
  <c r="G38" i="4"/>
  <c r="AI37" i="4"/>
  <c r="H37" i="4"/>
  <c r="R94" i="4"/>
  <c r="T94" i="4" s="1"/>
  <c r="T82" i="4"/>
  <c r="AD38" i="4"/>
  <c r="V82" i="4"/>
  <c r="X38" i="4"/>
  <c r="AS44" i="4"/>
  <c r="AS23" i="4"/>
  <c r="AR23" i="4"/>
  <c r="B94" i="4"/>
  <c r="D82" i="4"/>
  <c r="F94" i="4"/>
  <c r="AK28" i="4"/>
  <c r="AQ28" i="4"/>
  <c r="C94" i="4"/>
  <c r="E82" i="4"/>
  <c r="AN38" i="4"/>
  <c r="AL82" i="4"/>
  <c r="AS18" i="4"/>
  <c r="AR18" i="4"/>
  <c r="AR92" i="4"/>
  <c r="AH37" i="4"/>
  <c r="AJ36" i="4"/>
  <c r="AP36" i="4"/>
  <c r="AR27" i="4"/>
  <c r="AM82" i="4"/>
  <c r="AO38" i="4"/>
  <c r="AJ28" i="4"/>
  <c r="AP28" i="4"/>
  <c r="AR28" i="4" s="1"/>
  <c r="AJ81" i="4"/>
  <c r="AP81" i="4"/>
  <c r="Y94" i="4"/>
  <c r="AE94" i="4"/>
  <c r="AG94" i="4" s="1"/>
  <c r="P38" i="4"/>
  <c r="N82" i="4"/>
  <c r="AQ81" i="4"/>
  <c r="AS81" i="4" s="1"/>
  <c r="J94" i="4"/>
  <c r="L94" i="4" s="1"/>
  <c r="L82" i="4"/>
  <c r="AS43" i="4"/>
  <c r="D86" i="17" l="1"/>
  <c r="F86" i="17" s="1"/>
  <c r="F76" i="17"/>
  <c r="E76" i="17"/>
  <c r="C86" i="17"/>
  <c r="G78" i="12"/>
  <c r="I78" i="12" s="1"/>
  <c r="J78" i="12" s="1"/>
  <c r="L78" i="12" s="1"/>
  <c r="I68" i="12"/>
  <c r="J68" i="12" s="1"/>
  <c r="L68" i="12" s="1"/>
  <c r="AJ37" i="4"/>
  <c r="AP37" i="4"/>
  <c r="AS28" i="4"/>
  <c r="AK37" i="4"/>
  <c r="AQ37" i="4"/>
  <c r="AS37" i="4" s="1"/>
  <c r="AN82" i="4"/>
  <c r="AL94" i="4"/>
  <c r="X82" i="4"/>
  <c r="AD82" i="4"/>
  <c r="AF82" i="4" s="1"/>
  <c r="V94" i="4"/>
  <c r="AR93" i="4"/>
  <c r="AS93" i="4"/>
  <c r="AR36" i="4"/>
  <c r="AS36" i="4"/>
  <c r="AF38" i="4"/>
  <c r="AH38" i="4"/>
  <c r="P82" i="4"/>
  <c r="N94" i="4"/>
  <c r="P94" i="4" s="1"/>
  <c r="G82" i="4"/>
  <c r="AI38" i="4"/>
  <c r="I38" i="4"/>
  <c r="H38" i="4"/>
  <c r="AO82" i="4"/>
  <c r="AM94" i="4"/>
  <c r="AO94" i="4" s="1"/>
  <c r="AR81" i="4"/>
  <c r="E94" i="4"/>
  <c r="D94" i="4"/>
  <c r="E86" i="17" l="1"/>
  <c r="AK38" i="4"/>
  <c r="AQ38" i="4"/>
  <c r="AR37" i="4"/>
  <c r="AD94" i="4"/>
  <c r="AF94" i="4" s="1"/>
  <c r="X94" i="4"/>
  <c r="AJ38" i="4"/>
  <c r="AP38" i="4"/>
  <c r="AR38" i="4" s="1"/>
  <c r="AI82" i="4"/>
  <c r="I82" i="4"/>
  <c r="G94" i="4"/>
  <c r="H82" i="4"/>
  <c r="AN94" i="4"/>
  <c r="AH82" i="4"/>
  <c r="AJ82" i="4" l="1"/>
  <c r="AP82" i="4"/>
  <c r="AR82" i="4" s="1"/>
  <c r="AI94" i="4"/>
  <c r="I94" i="4"/>
  <c r="H94" i="4"/>
  <c r="AS38" i="4"/>
  <c r="AH94" i="4"/>
  <c r="AK82" i="4"/>
  <c r="AQ82" i="4"/>
  <c r="AK94" i="4" l="1"/>
  <c r="AQ94" i="4"/>
  <c r="AJ94" i="4"/>
  <c r="AP94" i="4"/>
  <c r="AR94" i="4" s="1"/>
  <c r="AS82" i="4"/>
  <c r="AS94" i="4" l="1"/>
  <c r="A8" i="17" l="1"/>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7" i="17"/>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7" i="3"/>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7" i="2"/>
  <c r="F25" i="5"/>
  <c r="F24" i="5"/>
  <c r="F23" i="5"/>
  <c r="F22" i="5"/>
  <c r="F21" i="5"/>
  <c r="F20" i="5"/>
  <c r="F16" i="5"/>
  <c r="F15" i="5"/>
  <c r="F14" i="5"/>
  <c r="F13" i="5"/>
  <c r="F10" i="5"/>
  <c r="F7" i="5"/>
  <c r="F8" i="5"/>
  <c r="F9" i="5"/>
  <c r="F6" i="5"/>
  <c r="C32" i="5"/>
  <c r="E94" i="14"/>
  <c r="D94" i="14"/>
  <c r="C94" i="14"/>
  <c r="V93" i="14"/>
  <c r="U93" i="14"/>
  <c r="T93" i="14"/>
  <c r="S93" i="14"/>
  <c r="R93" i="14"/>
  <c r="Q93" i="14"/>
  <c r="P93" i="14"/>
  <c r="O93" i="14"/>
  <c r="N93" i="14"/>
  <c r="M93" i="14"/>
  <c r="L93" i="14"/>
  <c r="K93" i="14"/>
  <c r="F93" i="14"/>
  <c r="V92" i="14"/>
  <c r="V94" i="14" s="1"/>
  <c r="U92" i="14"/>
  <c r="T92" i="14"/>
  <c r="T94" i="14" s="1"/>
  <c r="S92" i="14"/>
  <c r="S94" i="14" s="1"/>
  <c r="R92" i="14"/>
  <c r="Q92" i="14"/>
  <c r="P92" i="14"/>
  <c r="O92" i="14"/>
  <c r="N92" i="14"/>
  <c r="N94" i="14" s="1"/>
  <c r="M92" i="14"/>
  <c r="L92" i="14"/>
  <c r="L94" i="14" s="1"/>
  <c r="K92" i="14"/>
  <c r="K94" i="14" s="1"/>
  <c r="F92" i="14"/>
  <c r="Y91" i="14"/>
  <c r="E90" i="14"/>
  <c r="D90" i="14"/>
  <c r="C90" i="14"/>
  <c r="C95" i="14" s="1"/>
  <c r="V89" i="14"/>
  <c r="U89" i="14"/>
  <c r="T89" i="14"/>
  <c r="S89" i="14"/>
  <c r="R89" i="14"/>
  <c r="Q89" i="14"/>
  <c r="P89" i="14"/>
  <c r="O89" i="14"/>
  <c r="N89" i="14"/>
  <c r="M89" i="14"/>
  <c r="L89" i="14"/>
  <c r="K89" i="14"/>
  <c r="F89" i="14"/>
  <c r="V88" i="14"/>
  <c r="U88" i="14"/>
  <c r="T88" i="14"/>
  <c r="S88" i="14"/>
  <c r="R88" i="14"/>
  <c r="Q88" i="14"/>
  <c r="P88" i="14"/>
  <c r="O88" i="14"/>
  <c r="N88" i="14"/>
  <c r="M88" i="14"/>
  <c r="L88" i="14"/>
  <c r="K88" i="14"/>
  <c r="F88" i="14"/>
  <c r="V87" i="14"/>
  <c r="U87" i="14"/>
  <c r="T87" i="14"/>
  <c r="S87" i="14"/>
  <c r="R87" i="14"/>
  <c r="Q87" i="14"/>
  <c r="P87" i="14"/>
  <c r="O87" i="14"/>
  <c r="N87" i="14"/>
  <c r="M87" i="14"/>
  <c r="L87" i="14"/>
  <c r="K87" i="14"/>
  <c r="F87" i="14"/>
  <c r="V86" i="14"/>
  <c r="U86" i="14"/>
  <c r="T86" i="14"/>
  <c r="S86" i="14"/>
  <c r="R86" i="14"/>
  <c r="Q86" i="14"/>
  <c r="P86" i="14"/>
  <c r="O86" i="14"/>
  <c r="N86" i="14"/>
  <c r="M86" i="14"/>
  <c r="L86" i="14"/>
  <c r="K86" i="14"/>
  <c r="F86" i="14"/>
  <c r="V85" i="14"/>
  <c r="U85" i="14"/>
  <c r="T85" i="14"/>
  <c r="S85" i="14"/>
  <c r="R85" i="14"/>
  <c r="Q85" i="14"/>
  <c r="P85" i="14"/>
  <c r="O85" i="14"/>
  <c r="N85" i="14"/>
  <c r="M85" i="14"/>
  <c r="L85" i="14"/>
  <c r="K85" i="14"/>
  <c r="F85" i="14"/>
  <c r="Y84" i="14"/>
  <c r="E81" i="14"/>
  <c r="D81" i="14"/>
  <c r="C81" i="14"/>
  <c r="V80" i="14"/>
  <c r="U80" i="14"/>
  <c r="T80" i="14"/>
  <c r="S80" i="14"/>
  <c r="R80" i="14"/>
  <c r="Q80" i="14"/>
  <c r="P80" i="14"/>
  <c r="O80" i="14"/>
  <c r="N80" i="14"/>
  <c r="M80" i="14"/>
  <c r="L80" i="14"/>
  <c r="K80" i="14"/>
  <c r="F80" i="14"/>
  <c r="V79" i="14"/>
  <c r="U79" i="14"/>
  <c r="T79" i="14"/>
  <c r="S79" i="14"/>
  <c r="R79" i="14"/>
  <c r="Q79" i="14"/>
  <c r="P79" i="14"/>
  <c r="O79" i="14"/>
  <c r="N79" i="14"/>
  <c r="M79" i="14"/>
  <c r="L79" i="14"/>
  <c r="K79" i="14"/>
  <c r="F79" i="14"/>
  <c r="V78" i="14"/>
  <c r="U78" i="14"/>
  <c r="T78" i="14"/>
  <c r="S78" i="14"/>
  <c r="R78" i="14"/>
  <c r="Q78" i="14"/>
  <c r="P78" i="14"/>
  <c r="O78" i="14"/>
  <c r="N78" i="14"/>
  <c r="M78" i="14"/>
  <c r="L78" i="14"/>
  <c r="K78" i="14"/>
  <c r="F78" i="14"/>
  <c r="F77" i="14"/>
  <c r="E76" i="14"/>
  <c r="D76" i="14"/>
  <c r="C76" i="14"/>
  <c r="V75" i="14"/>
  <c r="U75" i="14"/>
  <c r="T75" i="14"/>
  <c r="S75" i="14"/>
  <c r="R75" i="14"/>
  <c r="Q75" i="14"/>
  <c r="P75" i="14"/>
  <c r="O75" i="14"/>
  <c r="N75" i="14"/>
  <c r="M75" i="14"/>
  <c r="L75" i="14"/>
  <c r="K75" i="14"/>
  <c r="F75" i="14"/>
  <c r="V74" i="14"/>
  <c r="U74" i="14"/>
  <c r="T74" i="14"/>
  <c r="S74" i="14"/>
  <c r="R74" i="14"/>
  <c r="Q74" i="14"/>
  <c r="P74" i="14"/>
  <c r="O74" i="14"/>
  <c r="N74" i="14"/>
  <c r="M74" i="14"/>
  <c r="L74" i="14"/>
  <c r="K74" i="14"/>
  <c r="F74" i="14"/>
  <c r="V73" i="14"/>
  <c r="U73" i="14"/>
  <c r="T73" i="14"/>
  <c r="S73" i="14"/>
  <c r="R73" i="14"/>
  <c r="Q73" i="14"/>
  <c r="P73" i="14"/>
  <c r="O73" i="14"/>
  <c r="N73" i="14"/>
  <c r="M73" i="14"/>
  <c r="L73" i="14"/>
  <c r="K73" i="14"/>
  <c r="F73" i="14"/>
  <c r="V72" i="14"/>
  <c r="U72" i="14"/>
  <c r="T72" i="14"/>
  <c r="S72" i="14"/>
  <c r="R72" i="14"/>
  <c r="Q72" i="14"/>
  <c r="P72" i="14"/>
  <c r="O72" i="14"/>
  <c r="N72" i="14"/>
  <c r="M72" i="14"/>
  <c r="L72" i="14"/>
  <c r="K72" i="14"/>
  <c r="F72" i="14"/>
  <c r="V71" i="14"/>
  <c r="U71" i="14"/>
  <c r="T71" i="14"/>
  <c r="S71" i="14"/>
  <c r="R71" i="14"/>
  <c r="Q71" i="14"/>
  <c r="P71" i="14"/>
  <c r="O71" i="14"/>
  <c r="N71" i="14"/>
  <c r="M71" i="14"/>
  <c r="L71" i="14"/>
  <c r="K71" i="14"/>
  <c r="F71" i="14"/>
  <c r="F70" i="14"/>
  <c r="E69" i="14"/>
  <c r="D69" i="14"/>
  <c r="C69" i="14"/>
  <c r="V68" i="14"/>
  <c r="U68" i="14"/>
  <c r="T68" i="14"/>
  <c r="S68" i="14"/>
  <c r="R68" i="14"/>
  <c r="Q68" i="14"/>
  <c r="P68" i="14"/>
  <c r="O68" i="14"/>
  <c r="N68" i="14"/>
  <c r="M68" i="14"/>
  <c r="L68" i="14"/>
  <c r="K68" i="14"/>
  <c r="F68" i="14"/>
  <c r="V67" i="14"/>
  <c r="U67" i="14"/>
  <c r="T67" i="14"/>
  <c r="S67" i="14"/>
  <c r="R67" i="14"/>
  <c r="Q67" i="14"/>
  <c r="P67" i="14"/>
  <c r="O67" i="14"/>
  <c r="N67" i="14"/>
  <c r="M67" i="14"/>
  <c r="L67" i="14"/>
  <c r="K67" i="14"/>
  <c r="F67" i="14"/>
  <c r="V66" i="14"/>
  <c r="U66" i="14"/>
  <c r="T66" i="14"/>
  <c r="S66" i="14"/>
  <c r="R66" i="14"/>
  <c r="Q66" i="14"/>
  <c r="P66" i="14"/>
  <c r="O66" i="14"/>
  <c r="N66" i="14"/>
  <c r="M66" i="14"/>
  <c r="L66" i="14"/>
  <c r="K66" i="14"/>
  <c r="F66" i="14"/>
  <c r="V65" i="14"/>
  <c r="U65" i="14"/>
  <c r="T65" i="14"/>
  <c r="S65" i="14"/>
  <c r="R65" i="14"/>
  <c r="Q65" i="14"/>
  <c r="P65" i="14"/>
  <c r="O65" i="14"/>
  <c r="N65" i="14"/>
  <c r="M65" i="14"/>
  <c r="L65" i="14"/>
  <c r="K65" i="14"/>
  <c r="F65" i="14"/>
  <c r="F64" i="14"/>
  <c r="E63" i="14"/>
  <c r="D63" i="14"/>
  <c r="C63" i="14"/>
  <c r="V62" i="14"/>
  <c r="U62" i="14"/>
  <c r="T62" i="14"/>
  <c r="S62" i="14"/>
  <c r="R62" i="14"/>
  <c r="Q62" i="14"/>
  <c r="P62" i="14"/>
  <c r="O62" i="14"/>
  <c r="N62" i="14"/>
  <c r="M62" i="14"/>
  <c r="L62" i="14"/>
  <c r="K62" i="14"/>
  <c r="F62" i="14"/>
  <c r="V61" i="14"/>
  <c r="U61" i="14"/>
  <c r="T61" i="14"/>
  <c r="S61" i="14"/>
  <c r="R61" i="14"/>
  <c r="Q61" i="14"/>
  <c r="P61" i="14"/>
  <c r="O61" i="14"/>
  <c r="N61" i="14"/>
  <c r="M61" i="14"/>
  <c r="L61" i="14"/>
  <c r="K61" i="14"/>
  <c r="F61" i="14"/>
  <c r="V60" i="14"/>
  <c r="U60" i="14"/>
  <c r="T60" i="14"/>
  <c r="S60" i="14"/>
  <c r="R60" i="14"/>
  <c r="Q60" i="14"/>
  <c r="P60" i="14"/>
  <c r="O60" i="14"/>
  <c r="N60" i="14"/>
  <c r="M60" i="14"/>
  <c r="L60" i="14"/>
  <c r="K60" i="14"/>
  <c r="F60" i="14"/>
  <c r="V59" i="14"/>
  <c r="U59" i="14"/>
  <c r="T59" i="14"/>
  <c r="S59" i="14"/>
  <c r="R59" i="14"/>
  <c r="Q59" i="14"/>
  <c r="P59" i="14"/>
  <c r="O59" i="14"/>
  <c r="N59" i="14"/>
  <c r="M59" i="14"/>
  <c r="L59" i="14"/>
  <c r="K59" i="14"/>
  <c r="F59" i="14"/>
  <c r="V58" i="14"/>
  <c r="U58" i="14"/>
  <c r="T58" i="14"/>
  <c r="S58" i="14"/>
  <c r="R58" i="14"/>
  <c r="Q58" i="14"/>
  <c r="P58" i="14"/>
  <c r="O58" i="14"/>
  <c r="N58" i="14"/>
  <c r="M58" i="14"/>
  <c r="L58" i="14"/>
  <c r="K58" i="14"/>
  <c r="F58" i="14"/>
  <c r="V57" i="14"/>
  <c r="U57" i="14"/>
  <c r="T57" i="14"/>
  <c r="S57" i="14"/>
  <c r="R57" i="14"/>
  <c r="Q57" i="14"/>
  <c r="P57" i="14"/>
  <c r="O57" i="14"/>
  <c r="N57" i="14"/>
  <c r="M57" i="14"/>
  <c r="L57" i="14"/>
  <c r="K57" i="14"/>
  <c r="F57" i="14"/>
  <c r="V56" i="14"/>
  <c r="U56" i="14"/>
  <c r="T56" i="14"/>
  <c r="S56" i="14"/>
  <c r="R56" i="14"/>
  <c r="Q56" i="14"/>
  <c r="P56" i="14"/>
  <c r="O56" i="14"/>
  <c r="N56" i="14"/>
  <c r="M56" i="14"/>
  <c r="L56" i="14"/>
  <c r="K56" i="14"/>
  <c r="F56" i="14"/>
  <c r="V55" i="14"/>
  <c r="U55" i="14"/>
  <c r="T55" i="14"/>
  <c r="S55" i="14"/>
  <c r="R55" i="14"/>
  <c r="Q55" i="14"/>
  <c r="P55" i="14"/>
  <c r="O55" i="14"/>
  <c r="N55" i="14"/>
  <c r="M55" i="14"/>
  <c r="L55" i="14"/>
  <c r="K55" i="14"/>
  <c r="F55" i="14"/>
  <c r="V54" i="14"/>
  <c r="U54" i="14"/>
  <c r="T54" i="14"/>
  <c r="S54" i="14"/>
  <c r="R54" i="14"/>
  <c r="Q54" i="14"/>
  <c r="P54" i="14"/>
  <c r="O54" i="14"/>
  <c r="N54" i="14"/>
  <c r="M54" i="14"/>
  <c r="L54" i="14"/>
  <c r="K54" i="14"/>
  <c r="F54" i="14"/>
  <c r="V53" i="14"/>
  <c r="U53" i="14"/>
  <c r="T53" i="14"/>
  <c r="S53" i="14"/>
  <c r="R53" i="14"/>
  <c r="Q53" i="14"/>
  <c r="P53" i="14"/>
  <c r="O53" i="14"/>
  <c r="N53" i="14"/>
  <c r="M53" i="14"/>
  <c r="L53" i="14"/>
  <c r="K53" i="14"/>
  <c r="F53" i="14"/>
  <c r="V52" i="14"/>
  <c r="U52" i="14"/>
  <c r="T52" i="14"/>
  <c r="S52" i="14"/>
  <c r="R52" i="14"/>
  <c r="Q52" i="14"/>
  <c r="P52" i="14"/>
  <c r="O52" i="14"/>
  <c r="N52" i="14"/>
  <c r="M52" i="14"/>
  <c r="L52" i="14"/>
  <c r="K52" i="14"/>
  <c r="F52" i="14"/>
  <c r="V51" i="14"/>
  <c r="U51" i="14"/>
  <c r="T51" i="14"/>
  <c r="S51" i="14"/>
  <c r="R51" i="14"/>
  <c r="Q51" i="14"/>
  <c r="P51" i="14"/>
  <c r="O51" i="14"/>
  <c r="N51" i="14"/>
  <c r="M51" i="14"/>
  <c r="L51" i="14"/>
  <c r="K51" i="14"/>
  <c r="F51" i="14"/>
  <c r="V50" i="14"/>
  <c r="U50" i="14"/>
  <c r="T50" i="14"/>
  <c r="S50" i="14"/>
  <c r="R50" i="14"/>
  <c r="Q50" i="14"/>
  <c r="P50" i="14"/>
  <c r="O50" i="14"/>
  <c r="N50" i="14"/>
  <c r="M50" i="14"/>
  <c r="L50" i="14"/>
  <c r="K50" i="14"/>
  <c r="F50" i="14"/>
  <c r="V49" i="14"/>
  <c r="U49" i="14"/>
  <c r="T49" i="14"/>
  <c r="S49" i="14"/>
  <c r="R49" i="14"/>
  <c r="Q49" i="14"/>
  <c r="P49" i="14"/>
  <c r="O49" i="14"/>
  <c r="N49" i="14"/>
  <c r="M49" i="14"/>
  <c r="L49" i="14"/>
  <c r="K49" i="14"/>
  <c r="F49" i="14"/>
  <c r="V48" i="14"/>
  <c r="U48" i="14"/>
  <c r="T48" i="14"/>
  <c r="S48" i="14"/>
  <c r="R48" i="14"/>
  <c r="Q48" i="14"/>
  <c r="P48" i="14"/>
  <c r="O48" i="14"/>
  <c r="N48" i="14"/>
  <c r="M48" i="14"/>
  <c r="L48" i="14"/>
  <c r="K48" i="14"/>
  <c r="F48" i="14"/>
  <c r="V47" i="14"/>
  <c r="U47" i="14"/>
  <c r="T47" i="14"/>
  <c r="S47" i="14"/>
  <c r="R47" i="14"/>
  <c r="Q47" i="14"/>
  <c r="P47" i="14"/>
  <c r="O47" i="14"/>
  <c r="N47" i="14"/>
  <c r="M47" i="14"/>
  <c r="L47" i="14"/>
  <c r="K47" i="14"/>
  <c r="F47" i="14"/>
  <c r="V46" i="14"/>
  <c r="U46" i="14"/>
  <c r="T46" i="14"/>
  <c r="S46" i="14"/>
  <c r="R46" i="14"/>
  <c r="Q46" i="14"/>
  <c r="P46" i="14"/>
  <c r="O46" i="14"/>
  <c r="N46" i="14"/>
  <c r="M46" i="14"/>
  <c r="L46" i="14"/>
  <c r="K46" i="14"/>
  <c r="F46" i="14"/>
  <c r="V45" i="14"/>
  <c r="U45" i="14"/>
  <c r="T45" i="14"/>
  <c r="S45" i="14"/>
  <c r="R45" i="14"/>
  <c r="Q45" i="14"/>
  <c r="P45" i="14"/>
  <c r="O45" i="14"/>
  <c r="N45" i="14"/>
  <c r="M45" i="14"/>
  <c r="L45" i="14"/>
  <c r="K45" i="14"/>
  <c r="F45" i="14"/>
  <c r="V44" i="14"/>
  <c r="U44" i="14"/>
  <c r="T44" i="14"/>
  <c r="S44" i="14"/>
  <c r="R44" i="14"/>
  <c r="Q44" i="14"/>
  <c r="P44" i="14"/>
  <c r="O44" i="14"/>
  <c r="N44" i="14"/>
  <c r="M44" i="14"/>
  <c r="L44" i="14"/>
  <c r="K44" i="14"/>
  <c r="F44" i="14"/>
  <c r="Y43" i="14"/>
  <c r="F43" i="14"/>
  <c r="E42" i="14"/>
  <c r="D42" i="14"/>
  <c r="D82" i="14" s="1"/>
  <c r="C42" i="14"/>
  <c r="C82" i="14" s="1"/>
  <c r="V41" i="14"/>
  <c r="U41" i="14"/>
  <c r="T41" i="14"/>
  <c r="S41" i="14"/>
  <c r="R41" i="14"/>
  <c r="Q41" i="14"/>
  <c r="P41" i="14"/>
  <c r="O41" i="14"/>
  <c r="N41" i="14"/>
  <c r="M41" i="14"/>
  <c r="L41" i="14"/>
  <c r="K41" i="14"/>
  <c r="F41" i="14"/>
  <c r="V40" i="14"/>
  <c r="U40" i="14"/>
  <c r="T40" i="14"/>
  <c r="S40" i="14"/>
  <c r="R40" i="14"/>
  <c r="Q40" i="14"/>
  <c r="P40" i="14"/>
  <c r="O40" i="14"/>
  <c r="N40" i="14"/>
  <c r="M40" i="14"/>
  <c r="L40" i="14"/>
  <c r="K40" i="14"/>
  <c r="F40" i="14"/>
  <c r="V39" i="14"/>
  <c r="U39" i="14"/>
  <c r="T39" i="14"/>
  <c r="S39" i="14"/>
  <c r="R39" i="14"/>
  <c r="R42" i="14" s="1"/>
  <c r="Q39" i="14"/>
  <c r="P39" i="14"/>
  <c r="O39" i="14"/>
  <c r="N39" i="14"/>
  <c r="M39" i="14"/>
  <c r="L39" i="14"/>
  <c r="K39" i="14"/>
  <c r="F39" i="14"/>
  <c r="F42" i="14" s="1"/>
  <c r="Y38" i="14"/>
  <c r="V35" i="14"/>
  <c r="U35" i="14"/>
  <c r="T35" i="14"/>
  <c r="S35" i="14"/>
  <c r="R35" i="14"/>
  <c r="Q35" i="14"/>
  <c r="P35" i="14"/>
  <c r="O35" i="14"/>
  <c r="N35" i="14"/>
  <c r="M35" i="14"/>
  <c r="L35" i="14"/>
  <c r="K35" i="14"/>
  <c r="F35" i="14"/>
  <c r="H35" i="14" s="1"/>
  <c r="E34" i="14"/>
  <c r="D34" i="14"/>
  <c r="C34" i="14"/>
  <c r="V33" i="14"/>
  <c r="U33" i="14"/>
  <c r="T33" i="14"/>
  <c r="S33" i="14"/>
  <c r="R33" i="14"/>
  <c r="Q33" i="14"/>
  <c r="P33" i="14"/>
  <c r="O33" i="14"/>
  <c r="N33" i="14"/>
  <c r="M33" i="14"/>
  <c r="L33" i="14"/>
  <c r="K33" i="14"/>
  <c r="F33" i="14"/>
  <c r="V32" i="14"/>
  <c r="U32" i="14"/>
  <c r="T32" i="14"/>
  <c r="S32" i="14"/>
  <c r="R32" i="14"/>
  <c r="Q32" i="14"/>
  <c r="P32" i="14"/>
  <c r="O32" i="14"/>
  <c r="N32" i="14"/>
  <c r="M32" i="14"/>
  <c r="L32" i="14"/>
  <c r="K32" i="14"/>
  <c r="F32" i="14"/>
  <c r="V31" i="14"/>
  <c r="U31" i="14"/>
  <c r="T31" i="14"/>
  <c r="S31" i="14"/>
  <c r="R31" i="14"/>
  <c r="Q31" i="14"/>
  <c r="P31" i="14"/>
  <c r="O31" i="14"/>
  <c r="N31" i="14"/>
  <c r="M31" i="14"/>
  <c r="L31" i="14"/>
  <c r="K31" i="14"/>
  <c r="F31" i="14"/>
  <c r="V30" i="14"/>
  <c r="U30" i="14"/>
  <c r="T30" i="14"/>
  <c r="S30" i="14"/>
  <c r="R30" i="14"/>
  <c r="Q30" i="14"/>
  <c r="P30" i="14"/>
  <c r="O30" i="14"/>
  <c r="N30" i="14"/>
  <c r="M30" i="14"/>
  <c r="L30" i="14"/>
  <c r="K30" i="14"/>
  <c r="F30" i="14"/>
  <c r="V29" i="14"/>
  <c r="U29" i="14"/>
  <c r="T29" i="14"/>
  <c r="S29" i="14"/>
  <c r="R29" i="14"/>
  <c r="Q29" i="14"/>
  <c r="P29" i="14"/>
  <c r="O29" i="14"/>
  <c r="N29" i="14"/>
  <c r="M29" i="14"/>
  <c r="L29" i="14"/>
  <c r="K29" i="14"/>
  <c r="F29" i="14"/>
  <c r="W28" i="14"/>
  <c r="F28" i="14"/>
  <c r="E26" i="14"/>
  <c r="D26" i="14"/>
  <c r="C26" i="14"/>
  <c r="V25" i="14"/>
  <c r="U25" i="14"/>
  <c r="T25" i="14"/>
  <c r="S25" i="14"/>
  <c r="R25" i="14"/>
  <c r="Q25" i="14"/>
  <c r="P25" i="14"/>
  <c r="O25" i="14"/>
  <c r="N25" i="14"/>
  <c r="M25" i="14"/>
  <c r="L25" i="14"/>
  <c r="K25" i="14"/>
  <c r="F25" i="14"/>
  <c r="V24" i="14"/>
  <c r="U24" i="14"/>
  <c r="T24" i="14"/>
  <c r="S24" i="14"/>
  <c r="R24" i="14"/>
  <c r="Q24" i="14"/>
  <c r="P24" i="14"/>
  <c r="O24" i="14"/>
  <c r="N24" i="14"/>
  <c r="M24" i="14"/>
  <c r="L24" i="14"/>
  <c r="K24" i="14"/>
  <c r="F24" i="14"/>
  <c r="K23" i="14"/>
  <c r="F23" i="14"/>
  <c r="E22" i="14"/>
  <c r="E27" i="14" s="1"/>
  <c r="D22" i="14"/>
  <c r="C22" i="14"/>
  <c r="V21" i="14"/>
  <c r="U21" i="14"/>
  <c r="T21" i="14"/>
  <c r="S21" i="14"/>
  <c r="R21" i="14"/>
  <c r="Q21" i="14"/>
  <c r="P21" i="14"/>
  <c r="O21" i="14"/>
  <c r="N21" i="14"/>
  <c r="M21" i="14"/>
  <c r="L21" i="14"/>
  <c r="K21" i="14"/>
  <c r="F21" i="14"/>
  <c r="V20" i="14"/>
  <c r="U20" i="14"/>
  <c r="T20" i="14"/>
  <c r="S20" i="14"/>
  <c r="R20" i="14"/>
  <c r="Q20" i="14"/>
  <c r="P20" i="14"/>
  <c r="O20" i="14"/>
  <c r="N20" i="14"/>
  <c r="M20" i="14"/>
  <c r="L20" i="14"/>
  <c r="K20" i="14"/>
  <c r="F20" i="14"/>
  <c r="V19" i="14"/>
  <c r="U19" i="14"/>
  <c r="T19" i="14"/>
  <c r="S19" i="14"/>
  <c r="R19" i="14"/>
  <c r="Q19" i="14"/>
  <c r="P19" i="14"/>
  <c r="O19" i="14"/>
  <c r="O22" i="14" s="1"/>
  <c r="N19" i="14"/>
  <c r="N22" i="14" s="1"/>
  <c r="M19" i="14"/>
  <c r="L19" i="14"/>
  <c r="K19" i="14"/>
  <c r="F19" i="14"/>
  <c r="F18" i="14"/>
  <c r="Y18" i="14" s="1"/>
  <c r="E17" i="14"/>
  <c r="D17" i="14"/>
  <c r="C17" i="14"/>
  <c r="V16" i="14"/>
  <c r="U16" i="14"/>
  <c r="T16" i="14"/>
  <c r="S16" i="14"/>
  <c r="R16" i="14"/>
  <c r="Q16" i="14"/>
  <c r="P16" i="14"/>
  <c r="O16" i="14"/>
  <c r="N16" i="14"/>
  <c r="M16" i="14"/>
  <c r="L16" i="14"/>
  <c r="K16" i="14"/>
  <c r="F16" i="14"/>
  <c r="V15" i="14"/>
  <c r="U15" i="14"/>
  <c r="T15" i="14"/>
  <c r="S15" i="14"/>
  <c r="R15" i="14"/>
  <c r="Q15" i="14"/>
  <c r="P15" i="14"/>
  <c r="O15" i="14"/>
  <c r="N15" i="14"/>
  <c r="M15" i="14"/>
  <c r="L15" i="14"/>
  <c r="K15" i="14"/>
  <c r="F15" i="14"/>
  <c r="V14" i="14"/>
  <c r="U14" i="14"/>
  <c r="T14" i="14"/>
  <c r="S14" i="14"/>
  <c r="R14" i="14"/>
  <c r="Q14" i="14"/>
  <c r="P14" i="14"/>
  <c r="O14" i="14"/>
  <c r="N14" i="14"/>
  <c r="M14" i="14"/>
  <c r="L14" i="14"/>
  <c r="K14" i="14"/>
  <c r="F14" i="14"/>
  <c r="V13" i="14"/>
  <c r="U13" i="14"/>
  <c r="T13" i="14"/>
  <c r="S13" i="14"/>
  <c r="R13" i="14"/>
  <c r="Q13" i="14"/>
  <c r="P13" i="14"/>
  <c r="O13" i="14"/>
  <c r="N13" i="14"/>
  <c r="M13" i="14"/>
  <c r="L13" i="14"/>
  <c r="K13" i="14"/>
  <c r="F13" i="14"/>
  <c r="V12" i="14"/>
  <c r="U12" i="14"/>
  <c r="T12" i="14"/>
  <c r="S12" i="14"/>
  <c r="R12" i="14"/>
  <c r="Q12" i="14"/>
  <c r="P12" i="14"/>
  <c r="O12" i="14"/>
  <c r="N12" i="14"/>
  <c r="M12" i="14"/>
  <c r="L12" i="14"/>
  <c r="K12" i="14"/>
  <c r="F12" i="14"/>
  <c r="V11" i="14"/>
  <c r="U11" i="14"/>
  <c r="T11" i="14"/>
  <c r="S11" i="14"/>
  <c r="R11" i="14"/>
  <c r="Q11" i="14"/>
  <c r="P11" i="14"/>
  <c r="O11" i="14"/>
  <c r="N11" i="14"/>
  <c r="M11" i="14"/>
  <c r="L11" i="14"/>
  <c r="K11" i="14"/>
  <c r="F11" i="14"/>
  <c r="V10" i="14"/>
  <c r="U10" i="14"/>
  <c r="T10" i="14"/>
  <c r="S10" i="14"/>
  <c r="R10" i="14"/>
  <c r="Q10" i="14"/>
  <c r="P10" i="14"/>
  <c r="O10" i="14"/>
  <c r="N10" i="14"/>
  <c r="M10" i="14"/>
  <c r="L10" i="14"/>
  <c r="K10" i="14"/>
  <c r="F10" i="14"/>
  <c r="V9" i="14"/>
  <c r="U9" i="14"/>
  <c r="T9" i="14"/>
  <c r="S9" i="14"/>
  <c r="R9" i="14"/>
  <c r="Q9" i="14"/>
  <c r="P9" i="14"/>
  <c r="O9" i="14"/>
  <c r="N9" i="14"/>
  <c r="M9" i="14"/>
  <c r="L9" i="14"/>
  <c r="K9" i="14"/>
  <c r="F9" i="14"/>
  <c r="V8" i="14"/>
  <c r="U8" i="14"/>
  <c r="T8" i="14"/>
  <c r="S8" i="14"/>
  <c r="R8" i="14"/>
  <c r="Q8" i="14"/>
  <c r="P8" i="14"/>
  <c r="O8" i="14"/>
  <c r="N8" i="14"/>
  <c r="M8" i="14"/>
  <c r="L8" i="14"/>
  <c r="K8" i="14"/>
  <c r="F8" i="14"/>
  <c r="F7" i="14"/>
  <c r="V22" i="14" l="1"/>
  <c r="B43" i="5"/>
  <c r="C25" i="5"/>
  <c r="G25" i="5"/>
  <c r="C43" i="5"/>
  <c r="D43" i="5" s="1"/>
  <c r="B25" i="5"/>
  <c r="M63" i="14"/>
  <c r="U63" i="14"/>
  <c r="R69" i="14"/>
  <c r="M94" i="14"/>
  <c r="U94" i="14"/>
  <c r="O81" i="14"/>
  <c r="O94" i="14"/>
  <c r="G6" i="5"/>
  <c r="F26" i="5"/>
  <c r="L69" i="14"/>
  <c r="T69" i="14"/>
  <c r="L76" i="14"/>
  <c r="T76" i="14"/>
  <c r="D95" i="14"/>
  <c r="R17" i="14"/>
  <c r="W9" i="14"/>
  <c r="Y9" i="14" s="1"/>
  <c r="C27" i="14"/>
  <c r="C36" i="14" s="1"/>
  <c r="C37" i="14" s="1"/>
  <c r="C83" i="14" s="1"/>
  <c r="C96" i="14" s="1"/>
  <c r="L42" i="14"/>
  <c r="T42" i="14"/>
  <c r="P81" i="14"/>
  <c r="P94" i="14"/>
  <c r="K90" i="14"/>
  <c r="Q17" i="14"/>
  <c r="K17" i="14"/>
  <c r="N69" i="14"/>
  <c r="V69" i="14"/>
  <c r="F81" i="14"/>
  <c r="H81" i="14" s="1"/>
  <c r="S90" i="14"/>
  <c r="S95" i="14" s="1"/>
  <c r="Y28" i="14"/>
  <c r="P34" i="14"/>
  <c r="S34" i="14"/>
  <c r="N42" i="14"/>
  <c r="V42" i="14"/>
  <c r="R81" i="14"/>
  <c r="F26" i="14"/>
  <c r="P76" i="14"/>
  <c r="W72" i="14"/>
  <c r="W14" i="14"/>
  <c r="Y14" i="14" s="1"/>
  <c r="R34" i="14"/>
  <c r="M34" i="14"/>
  <c r="U34" i="14"/>
  <c r="P42" i="14"/>
  <c r="F76" i="14"/>
  <c r="L81" i="14"/>
  <c r="T81" i="14"/>
  <c r="W93" i="14"/>
  <c r="Y93" i="14" s="1"/>
  <c r="Q22" i="14"/>
  <c r="W21" i="14"/>
  <c r="Y21" i="14" s="1"/>
  <c r="Q34" i="14"/>
  <c r="O42" i="14"/>
  <c r="W51" i="14"/>
  <c r="W65" i="14"/>
  <c r="S69" i="14"/>
  <c r="Y70" i="14"/>
  <c r="Q76" i="14"/>
  <c r="Y77" i="14"/>
  <c r="Q81" i="14"/>
  <c r="F90" i="14"/>
  <c r="R90" i="14"/>
  <c r="P90" i="14"/>
  <c r="P95" i="14" s="1"/>
  <c r="P22" i="14"/>
  <c r="W40" i="14"/>
  <c r="Y40" i="14" s="1"/>
  <c r="Q90" i="14"/>
  <c r="M17" i="14"/>
  <c r="U17" i="14"/>
  <c r="W10" i="14"/>
  <c r="Y10" i="14" s="1"/>
  <c r="W13" i="14"/>
  <c r="S17" i="14"/>
  <c r="W16" i="14"/>
  <c r="W24" i="14"/>
  <c r="Y24" i="14" s="1"/>
  <c r="N34" i="14"/>
  <c r="V34" i="14"/>
  <c r="P63" i="14"/>
  <c r="S76" i="14"/>
  <c r="W75" i="14"/>
  <c r="Y75" i="14" s="1"/>
  <c r="S81" i="14"/>
  <c r="E82" i="14"/>
  <c r="L90" i="14"/>
  <c r="L95" i="14" s="1"/>
  <c r="T90" i="14"/>
  <c r="T95" i="14" s="1"/>
  <c r="W86" i="14"/>
  <c r="Y86" i="14" s="1"/>
  <c r="F22" i="14"/>
  <c r="F27" i="14" s="1"/>
  <c r="R22" i="14"/>
  <c r="L34" i="14"/>
  <c r="T34" i="14"/>
  <c r="W32" i="14"/>
  <c r="Y32" i="14" s="1"/>
  <c r="Q63" i="14"/>
  <c r="W46" i="14"/>
  <c r="Y46" i="14" s="1"/>
  <c r="W50" i="14"/>
  <c r="Y50" i="14" s="1"/>
  <c r="W54" i="14"/>
  <c r="Y54" i="14" s="1"/>
  <c r="W58" i="14"/>
  <c r="W61" i="14"/>
  <c r="Y61" i="14" s="1"/>
  <c r="W62" i="14"/>
  <c r="Y62" i="14" s="1"/>
  <c r="W67" i="14"/>
  <c r="Y67" i="14" s="1"/>
  <c r="W68" i="14"/>
  <c r="Y68" i="14" s="1"/>
  <c r="M90" i="14"/>
  <c r="M95" i="14" s="1"/>
  <c r="U90" i="14"/>
  <c r="U95" i="14" s="1"/>
  <c r="W87" i="14"/>
  <c r="Y87" i="14" s="1"/>
  <c r="E95" i="14"/>
  <c r="Y13" i="14"/>
  <c r="O17" i="14"/>
  <c r="W11" i="14"/>
  <c r="Y11" i="14" s="1"/>
  <c r="F17" i="14"/>
  <c r="W15" i="14"/>
  <c r="Y15" i="14" s="1"/>
  <c r="W19" i="14"/>
  <c r="Y19" i="14" s="1"/>
  <c r="K42" i="14"/>
  <c r="S42" i="14"/>
  <c r="W47" i="14"/>
  <c r="Y47" i="14" s="1"/>
  <c r="W55" i="14"/>
  <c r="Y55" i="14" s="1"/>
  <c r="N90" i="14"/>
  <c r="N95" i="14" s="1"/>
  <c r="V90" i="14"/>
  <c r="V95" i="14" s="1"/>
  <c r="W88" i="14"/>
  <c r="Y88" i="14" s="1"/>
  <c r="Q94" i="14"/>
  <c r="K95" i="14"/>
  <c r="E36" i="14"/>
  <c r="E37" i="14" s="1"/>
  <c r="E83" i="14" s="1"/>
  <c r="E96" i="14" s="1"/>
  <c r="W48" i="14"/>
  <c r="W52" i="14"/>
  <c r="Y52" i="14" s="1"/>
  <c r="W56" i="14"/>
  <c r="Y56" i="14" s="1"/>
  <c r="P69" i="14"/>
  <c r="W66" i="14"/>
  <c r="N81" i="14"/>
  <c r="V81" i="14"/>
  <c r="O90" i="14"/>
  <c r="W89" i="14"/>
  <c r="Y89" i="14" s="1"/>
  <c r="F94" i="14"/>
  <c r="F95" i="14" s="1"/>
  <c r="R94" i="14"/>
  <c r="M22" i="14"/>
  <c r="U22" i="14"/>
  <c r="O34" i="14"/>
  <c r="W35" i="14"/>
  <c r="Y35" i="14" s="1"/>
  <c r="M42" i="14"/>
  <c r="U42" i="14"/>
  <c r="W57" i="14"/>
  <c r="Y57" i="14" s="1"/>
  <c r="F69" i="14"/>
  <c r="H69" i="14" s="1"/>
  <c r="Q69" i="14"/>
  <c r="O76" i="14"/>
  <c r="Y72" i="14"/>
  <c r="R76" i="14"/>
  <c r="W92" i="14"/>
  <c r="Y92" i="14" s="1"/>
  <c r="H22" i="14"/>
  <c r="H17" i="14"/>
  <c r="H26" i="14"/>
  <c r="L22" i="14"/>
  <c r="T22" i="14"/>
  <c r="W30" i="14"/>
  <c r="Y30" i="14" s="1"/>
  <c r="K34" i="14"/>
  <c r="W33" i="14"/>
  <c r="Y33" i="14" s="1"/>
  <c r="W44" i="14"/>
  <c r="S63" i="14"/>
  <c r="W53" i="14"/>
  <c r="Y53" i="14" s="1"/>
  <c r="W73" i="14"/>
  <c r="Y73" i="14" s="1"/>
  <c r="W39" i="14"/>
  <c r="N17" i="14"/>
  <c r="V17" i="14"/>
  <c r="Y16" i="14"/>
  <c r="W25" i="14"/>
  <c r="Y25" i="14" s="1"/>
  <c r="L63" i="14"/>
  <c r="T63" i="14"/>
  <c r="T82" i="14" s="1"/>
  <c r="Y58" i="14"/>
  <c r="Y65" i="14"/>
  <c r="N76" i="14"/>
  <c r="V76" i="14"/>
  <c r="M81" i="14"/>
  <c r="U81" i="14"/>
  <c r="W80" i="14"/>
  <c r="Y80" i="14" s="1"/>
  <c r="W29" i="14"/>
  <c r="W49" i="14"/>
  <c r="Y49" i="14" s="1"/>
  <c r="H76" i="14"/>
  <c r="Q42" i="14"/>
  <c r="O63" i="14"/>
  <c r="Y51" i="14"/>
  <c r="W60" i="14"/>
  <c r="Y60" i="14" s="1"/>
  <c r="M69" i="14"/>
  <c r="U69" i="14"/>
  <c r="W79" i="14"/>
  <c r="Y79" i="14" s="1"/>
  <c r="P17" i="14"/>
  <c r="V63" i="14"/>
  <c r="W12" i="14"/>
  <c r="Y12" i="14" s="1"/>
  <c r="W20" i="14"/>
  <c r="Y20" i="14" s="1"/>
  <c r="H42" i="14"/>
  <c r="F63" i="14"/>
  <c r="F82" i="14" s="1"/>
  <c r="Y48" i="14"/>
  <c r="M76" i="14"/>
  <c r="U76" i="14"/>
  <c r="N63" i="14"/>
  <c r="W31" i="14"/>
  <c r="Y31" i="14" s="1"/>
  <c r="W41" i="14"/>
  <c r="Y41" i="14" s="1"/>
  <c r="W45" i="14"/>
  <c r="Y45" i="14" s="1"/>
  <c r="O69" i="14"/>
  <c r="Y66" i="14"/>
  <c r="W71" i="14"/>
  <c r="K76" i="14"/>
  <c r="W74" i="14"/>
  <c r="Y74" i="14" s="1"/>
  <c r="L17" i="14"/>
  <c r="W8" i="14"/>
  <c r="Y8" i="14" s="1"/>
  <c r="T17" i="14"/>
  <c r="S22" i="14"/>
  <c r="D27" i="14"/>
  <c r="D36" i="14" s="1"/>
  <c r="D37" i="14" s="1"/>
  <c r="D83" i="14" s="1"/>
  <c r="D96" i="14" s="1"/>
  <c r="R63" i="14"/>
  <c r="W59" i="14"/>
  <c r="Y59" i="14" s="1"/>
  <c r="W78" i="14"/>
  <c r="K81" i="14"/>
  <c r="K63" i="14"/>
  <c r="K69" i="14"/>
  <c r="K22" i="14"/>
  <c r="L23" i="14"/>
  <c r="M23" i="14" s="1"/>
  <c r="N23" i="14" s="1"/>
  <c r="K26" i="14"/>
  <c r="W85" i="14"/>
  <c r="Y85" i="14" s="1"/>
  <c r="F34" i="14"/>
  <c r="Y64" i="14"/>
  <c r="S82" i="14" l="1"/>
  <c r="N82" i="14"/>
  <c r="H25" i="5"/>
  <c r="D25" i="5"/>
  <c r="P82" i="14"/>
  <c r="L82" i="14"/>
  <c r="R82" i="14"/>
  <c r="M82" i="14"/>
  <c r="O95" i="14"/>
  <c r="W34" i="14"/>
  <c r="Y34" i="14" s="1"/>
  <c r="W94" i="14"/>
  <c r="Y94" i="14" s="1"/>
  <c r="W81" i="14"/>
  <c r="Y81" i="14" s="1"/>
  <c r="W69" i="14"/>
  <c r="Y69" i="14" s="1"/>
  <c r="K82" i="14"/>
  <c r="U82" i="14"/>
  <c r="O82" i="14"/>
  <c r="F36" i="14"/>
  <c r="F37" i="14" s="1"/>
  <c r="Q95" i="14"/>
  <c r="Q82" i="14"/>
  <c r="W76" i="14"/>
  <c r="Y76" i="14" s="1"/>
  <c r="W63" i="14"/>
  <c r="Y63" i="14" s="1"/>
  <c r="R95" i="14"/>
  <c r="W90" i="14"/>
  <c r="Y90" i="14" s="1"/>
  <c r="V82" i="14"/>
  <c r="N26" i="14"/>
  <c r="N27" i="14" s="1"/>
  <c r="N36" i="14" s="1"/>
  <c r="N37" i="14" s="1"/>
  <c r="N83" i="14" s="1"/>
  <c r="N96" i="14" s="1"/>
  <c r="O23" i="14"/>
  <c r="L26" i="14"/>
  <c r="L27" i="14" s="1"/>
  <c r="L36" i="14" s="1"/>
  <c r="L37" i="14" s="1"/>
  <c r="Y29" i="14"/>
  <c r="M26" i="14"/>
  <c r="M27" i="14" s="1"/>
  <c r="M36" i="14" s="1"/>
  <c r="M37" i="14" s="1"/>
  <c r="P23" i="14"/>
  <c r="K27" i="14"/>
  <c r="K36" i="14" s="1"/>
  <c r="K37" i="14" s="1"/>
  <c r="K83" i="14" s="1"/>
  <c r="K96" i="14" s="1"/>
  <c r="Y71" i="14"/>
  <c r="H34" i="14"/>
  <c r="Y78" i="14"/>
  <c r="W22" i="14"/>
  <c r="H27" i="14"/>
  <c r="Y44" i="14"/>
  <c r="W17" i="14"/>
  <c r="Y39" i="14"/>
  <c r="W42" i="14"/>
  <c r="M83" i="14" l="1"/>
  <c r="M96" i="14" s="1"/>
  <c r="L83" i="14"/>
  <c r="L96" i="14" s="1"/>
  <c r="H36" i="14"/>
  <c r="W95" i="14"/>
  <c r="Y95" i="14" s="1"/>
  <c r="O26" i="14"/>
  <c r="O27" i="14" s="1"/>
  <c r="O36" i="14" s="1"/>
  <c r="O37" i="14" s="1"/>
  <c r="O83" i="14" s="1"/>
  <c r="O96" i="14" s="1"/>
  <c r="Q23" i="14"/>
  <c r="P26" i="14"/>
  <c r="P27" i="14" s="1"/>
  <c r="P36" i="14" s="1"/>
  <c r="P37" i="14" s="1"/>
  <c r="P83" i="14" s="1"/>
  <c r="P96" i="14" s="1"/>
  <c r="Y17" i="14"/>
  <c r="W82" i="14"/>
  <c r="Y82" i="14" s="1"/>
  <c r="Y42" i="14"/>
  <c r="Y22" i="14"/>
  <c r="F83" i="14"/>
  <c r="H37" i="14"/>
  <c r="F96" i="14" l="1"/>
  <c r="Q26" i="14"/>
  <c r="Q27" i="14" s="1"/>
  <c r="Q36" i="14" s="1"/>
  <c r="Q37" i="14" s="1"/>
  <c r="Q83" i="14" s="1"/>
  <c r="Q96" i="14" s="1"/>
  <c r="R23" i="14"/>
  <c r="R26" i="14" l="1"/>
  <c r="R27" i="14" s="1"/>
  <c r="R36" i="14" s="1"/>
  <c r="R37" i="14" s="1"/>
  <c r="R83" i="14" s="1"/>
  <c r="R96" i="14" s="1"/>
  <c r="S23" i="14"/>
  <c r="S26" i="14" l="1"/>
  <c r="S27" i="14" s="1"/>
  <c r="S36" i="14" s="1"/>
  <c r="S37" i="14" s="1"/>
  <c r="S83" i="14" s="1"/>
  <c r="S96" i="14" s="1"/>
  <c r="T23" i="14"/>
  <c r="U23" i="14"/>
  <c r="U26" i="14" s="1"/>
  <c r="U27" i="14" s="1"/>
  <c r="U36" i="14" s="1"/>
  <c r="U37" i="14" s="1"/>
  <c r="U83" i="14" s="1"/>
  <c r="U96" i="14" s="1"/>
  <c r="V23" i="14" l="1"/>
  <c r="V26" i="14" s="1"/>
  <c r="V27" i="14" s="1"/>
  <c r="V36" i="14" s="1"/>
  <c r="V37" i="14" s="1"/>
  <c r="V83" i="14" s="1"/>
  <c r="V96" i="14" s="1"/>
  <c r="W23" i="14"/>
  <c r="T26" i="14"/>
  <c r="T27" i="14" s="1"/>
  <c r="T36" i="14" s="1"/>
  <c r="T37" i="14" s="1"/>
  <c r="T83" i="14" s="1"/>
  <c r="T96" i="14" s="1"/>
  <c r="W26" i="14" l="1"/>
  <c r="Y23" i="14"/>
  <c r="Y26" i="14" l="1"/>
  <c r="W27" i="14"/>
  <c r="Y27" i="14" l="1"/>
  <c r="W36" i="14"/>
  <c r="W37" i="14" l="1"/>
  <c r="Y36" i="14"/>
  <c r="W83" i="14" l="1"/>
  <c r="Y37" i="14"/>
  <c r="W96" i="14" l="1"/>
  <c r="Y96" i="14" s="1"/>
  <c r="Y83" i="14"/>
  <c r="C24" i="5" l="1"/>
  <c r="C23" i="5"/>
  <c r="C22" i="5"/>
  <c r="C21" i="5"/>
  <c r="C20" i="5"/>
  <c r="C16" i="5"/>
  <c r="C15" i="5"/>
  <c r="C14" i="5"/>
  <c r="C13" i="5"/>
  <c r="C7" i="5"/>
  <c r="C9" i="5"/>
  <c r="C8" i="5"/>
  <c r="C10" i="5"/>
  <c r="C6" i="5"/>
  <c r="C26" i="5" l="1"/>
  <c r="B45" i="5"/>
  <c r="C45" i="5"/>
  <c r="B6" i="5"/>
  <c r="B7" i="5"/>
  <c r="G7" i="5"/>
  <c r="B8" i="5"/>
  <c r="G8" i="5"/>
  <c r="B9" i="5"/>
  <c r="G9" i="5"/>
  <c r="B10" i="5"/>
  <c r="G10" i="5"/>
  <c r="D45" i="5" l="1"/>
  <c r="H9" i="5"/>
  <c r="H10" i="5"/>
  <c r="H7" i="5"/>
  <c r="H8" i="5"/>
  <c r="D10" i="5" l="1"/>
  <c r="D8" i="5"/>
  <c r="D9" i="5"/>
  <c r="C11" i="5" l="1"/>
  <c r="D7" i="5"/>
  <c r="C17" i="5"/>
  <c r="F17" i="5"/>
  <c r="B24" i="5" l="1"/>
  <c r="B21" i="5"/>
  <c r="G23" i="5"/>
  <c r="G24" i="5"/>
  <c r="G22" i="5"/>
  <c r="G21" i="5"/>
  <c r="G5" i="5"/>
  <c r="G16" i="5" l="1"/>
  <c r="G13" i="5"/>
  <c r="B23" i="5"/>
  <c r="H23" i="5" s="1"/>
  <c r="B22" i="5"/>
  <c r="D22" i="5" s="1"/>
  <c r="H24" i="5"/>
  <c r="H21" i="5"/>
  <c r="G15" i="5"/>
  <c r="G20" i="5"/>
  <c r="G26" i="5" s="1"/>
  <c r="D24" i="5"/>
  <c r="B20" i="5"/>
  <c r="D21" i="5"/>
  <c r="B26" i="5" l="1"/>
  <c r="G14" i="5"/>
  <c r="G17" i="5" s="1"/>
  <c r="D23" i="5"/>
  <c r="H22" i="5"/>
  <c r="G11" i="5"/>
  <c r="H20" i="5"/>
  <c r="H26" i="5" l="1"/>
  <c r="G28" i="5"/>
  <c r="G18" i="5"/>
  <c r="B46" i="5" l="1"/>
  <c r="C46" i="5"/>
  <c r="B97" i="10"/>
  <c r="B96" i="10"/>
  <c r="H95" i="10"/>
  <c r="H96" i="10" s="1"/>
  <c r="H97" i="10" s="1"/>
  <c r="F95" i="10"/>
  <c r="F96" i="10" s="1"/>
  <c r="F97" i="10" s="1"/>
  <c r="E95" i="10"/>
  <c r="E96" i="10" s="1"/>
  <c r="E97" i="10" s="1"/>
  <c r="D95" i="10"/>
  <c r="D96" i="10" s="1"/>
  <c r="D97" i="10" s="1"/>
  <c r="C95" i="10"/>
  <c r="C96" i="10" s="1"/>
  <c r="C97" i="10" s="1"/>
  <c r="B95" i="10"/>
  <c r="G94" i="10"/>
  <c r="I94" i="10" s="1"/>
  <c r="I93" i="10"/>
  <c r="E89" i="10"/>
  <c r="B89" i="10"/>
  <c r="I88" i="10"/>
  <c r="F88" i="10"/>
  <c r="H87" i="10"/>
  <c r="G87" i="10"/>
  <c r="F87" i="10"/>
  <c r="E87" i="10"/>
  <c r="D87" i="10"/>
  <c r="D89" i="10" s="1"/>
  <c r="C87" i="10"/>
  <c r="I87" i="10" s="1"/>
  <c r="B87" i="10"/>
  <c r="H86" i="10"/>
  <c r="H89" i="10" s="1"/>
  <c r="G86" i="10"/>
  <c r="G89" i="10" s="1"/>
  <c r="F86" i="10"/>
  <c r="F89" i="10" s="1"/>
  <c r="C86" i="10"/>
  <c r="C89" i="10" s="1"/>
  <c r="I85" i="10"/>
  <c r="H83" i="10"/>
  <c r="G83" i="10"/>
  <c r="F83" i="10"/>
  <c r="E83" i="10"/>
  <c r="D83" i="10"/>
  <c r="C83" i="10"/>
  <c r="B83" i="10"/>
  <c r="I83" i="10" s="1"/>
  <c r="H82" i="10"/>
  <c r="G82" i="10"/>
  <c r="F82" i="10"/>
  <c r="E82" i="10"/>
  <c r="D82" i="10"/>
  <c r="C82" i="10"/>
  <c r="B82" i="10"/>
  <c r="I82" i="10" s="1"/>
  <c r="H81" i="10"/>
  <c r="H84" i="10" s="1"/>
  <c r="G81" i="10"/>
  <c r="G84" i="10" s="1"/>
  <c r="F81" i="10"/>
  <c r="F84" i="10" s="1"/>
  <c r="E81" i="10"/>
  <c r="E84" i="10" s="1"/>
  <c r="D81" i="10"/>
  <c r="D84" i="10" s="1"/>
  <c r="C81" i="10"/>
  <c r="C84" i="10" s="1"/>
  <c r="B81" i="10"/>
  <c r="B84" i="10" s="1"/>
  <c r="I80" i="10"/>
  <c r="F79" i="10"/>
  <c r="H78" i="10"/>
  <c r="G78" i="10"/>
  <c r="F78" i="10"/>
  <c r="E78" i="10"/>
  <c r="D78" i="10"/>
  <c r="C78" i="10"/>
  <c r="C79" i="10" s="1"/>
  <c r="B78" i="10"/>
  <c r="B79" i="10" s="1"/>
  <c r="I79" i="10" s="1"/>
  <c r="H77" i="10"/>
  <c r="C77" i="10"/>
  <c r="I77" i="10" s="1"/>
  <c r="I76" i="10"/>
  <c r="H76" i="10"/>
  <c r="G76" i="10"/>
  <c r="F76" i="10"/>
  <c r="E76" i="10"/>
  <c r="E79" i="10" s="1"/>
  <c r="D76" i="10"/>
  <c r="C76" i="10"/>
  <c r="B76" i="10"/>
  <c r="I75" i="10"/>
  <c r="H75" i="10"/>
  <c r="H79" i="10" s="1"/>
  <c r="G75" i="10"/>
  <c r="G79" i="10" s="1"/>
  <c r="F75" i="10"/>
  <c r="D75" i="10"/>
  <c r="C75" i="10"/>
  <c r="H74" i="10"/>
  <c r="D74" i="10"/>
  <c r="D79" i="10" s="1"/>
  <c r="I73" i="10"/>
  <c r="H71" i="10"/>
  <c r="G71" i="10"/>
  <c r="F71" i="10"/>
  <c r="E71" i="10"/>
  <c r="D71" i="10"/>
  <c r="C71" i="10"/>
  <c r="I71" i="10" s="1"/>
  <c r="B71" i="10"/>
  <c r="H70" i="10"/>
  <c r="I70" i="10" s="1"/>
  <c r="G70" i="10"/>
  <c r="C70" i="10"/>
  <c r="B70" i="10"/>
  <c r="H69" i="10"/>
  <c r="G69" i="10"/>
  <c r="F69" i="10"/>
  <c r="E69" i="10"/>
  <c r="B69" i="10"/>
  <c r="I69" i="10" s="1"/>
  <c r="H68" i="10"/>
  <c r="F68" i="10"/>
  <c r="E68" i="10"/>
  <c r="D68" i="10"/>
  <c r="C68" i="10"/>
  <c r="I68" i="10" s="1"/>
  <c r="H67" i="10"/>
  <c r="G67" i="10"/>
  <c r="F67" i="10"/>
  <c r="E67" i="10"/>
  <c r="D67" i="10"/>
  <c r="I67" i="10" s="1"/>
  <c r="B67" i="10"/>
  <c r="H66" i="10"/>
  <c r="G66" i="10"/>
  <c r="F66" i="10"/>
  <c r="E66" i="10"/>
  <c r="D66" i="10"/>
  <c r="C66" i="10"/>
  <c r="I66" i="10" s="1"/>
  <c r="B66" i="10"/>
  <c r="H65" i="10"/>
  <c r="G65" i="10"/>
  <c r="F65" i="10"/>
  <c r="E65" i="10"/>
  <c r="D65" i="10"/>
  <c r="C65" i="10"/>
  <c r="I65" i="10" s="1"/>
  <c r="B65" i="10"/>
  <c r="H64" i="10"/>
  <c r="H72" i="10" s="1"/>
  <c r="G64" i="10"/>
  <c r="G72" i="10" s="1"/>
  <c r="F64" i="10"/>
  <c r="F72" i="10" s="1"/>
  <c r="E64" i="10"/>
  <c r="E72" i="10" s="1"/>
  <c r="D64" i="10"/>
  <c r="D72" i="10" s="1"/>
  <c r="C64" i="10"/>
  <c r="I64" i="10" s="1"/>
  <c r="B64" i="10"/>
  <c r="B72" i="10" s="1"/>
  <c r="I63" i="10"/>
  <c r="H62" i="10"/>
  <c r="C62" i="10"/>
  <c r="B62" i="10"/>
  <c r="I61" i="10"/>
  <c r="E61" i="10"/>
  <c r="D61" i="10"/>
  <c r="G60" i="10"/>
  <c r="D60" i="10"/>
  <c r="I60" i="10" s="1"/>
  <c r="F59" i="10"/>
  <c r="E59" i="10"/>
  <c r="D59" i="10"/>
  <c r="I59" i="10" s="1"/>
  <c r="F58" i="10"/>
  <c r="I58" i="10" s="1"/>
  <c r="F57" i="10"/>
  <c r="E57" i="10"/>
  <c r="D57" i="10"/>
  <c r="I57" i="10" s="1"/>
  <c r="I56" i="10"/>
  <c r="F56" i="10"/>
  <c r="E56" i="10"/>
  <c r="D56" i="10"/>
  <c r="G55" i="10"/>
  <c r="F55" i="10"/>
  <c r="I55" i="10" s="1"/>
  <c r="I54" i="10"/>
  <c r="G54" i="10"/>
  <c r="G62" i="10" s="1"/>
  <c r="F54" i="10"/>
  <c r="F62" i="10" s="1"/>
  <c r="E54" i="10"/>
  <c r="E53" i="10"/>
  <c r="E62" i="10" s="1"/>
  <c r="D53" i="10"/>
  <c r="I53" i="10" s="1"/>
  <c r="I52" i="10"/>
  <c r="C51" i="10"/>
  <c r="I50" i="10"/>
  <c r="H50" i="10"/>
  <c r="H51" i="10" s="1"/>
  <c r="G50" i="10"/>
  <c r="F50" i="10"/>
  <c r="H49" i="10"/>
  <c r="G49" i="10"/>
  <c r="F49" i="10"/>
  <c r="E49" i="10"/>
  <c r="D49" i="10"/>
  <c r="C49" i="10"/>
  <c r="I49" i="10" s="1"/>
  <c r="B49" i="10"/>
  <c r="H48" i="10"/>
  <c r="G48" i="10"/>
  <c r="G51" i="10" s="1"/>
  <c r="F48" i="10"/>
  <c r="E48" i="10"/>
  <c r="E51" i="10" s="1"/>
  <c r="D48" i="10"/>
  <c r="B48" i="10"/>
  <c r="I48" i="10" s="1"/>
  <c r="D47" i="10"/>
  <c r="I47" i="10" s="1"/>
  <c r="F46" i="10"/>
  <c r="I46" i="10" s="1"/>
  <c r="F45" i="10"/>
  <c r="F51" i="10" s="1"/>
  <c r="C45" i="10"/>
  <c r="I45" i="10" s="1"/>
  <c r="B45" i="10"/>
  <c r="B51" i="10" s="1"/>
  <c r="I44" i="10"/>
  <c r="G43" i="10"/>
  <c r="H42" i="10"/>
  <c r="G42" i="10"/>
  <c r="F42" i="10"/>
  <c r="E42" i="10"/>
  <c r="D42" i="10"/>
  <c r="C42" i="10"/>
  <c r="I42" i="10" s="1"/>
  <c r="B42" i="10"/>
  <c r="H41" i="10"/>
  <c r="G41" i="10"/>
  <c r="F41" i="10"/>
  <c r="E41" i="10"/>
  <c r="E43" i="10" s="1"/>
  <c r="D41" i="10"/>
  <c r="C41" i="10"/>
  <c r="C43" i="10" s="1"/>
  <c r="B41" i="10"/>
  <c r="H40" i="10"/>
  <c r="D40" i="10"/>
  <c r="D43" i="10" s="1"/>
  <c r="H39" i="10"/>
  <c r="H43" i="10" s="1"/>
  <c r="G39" i="10"/>
  <c r="F39" i="10"/>
  <c r="F43" i="10" s="1"/>
  <c r="E39" i="10"/>
  <c r="D39" i="10"/>
  <c r="C39" i="10"/>
  <c r="B39" i="10"/>
  <c r="I39" i="10" s="1"/>
  <c r="G38" i="10"/>
  <c r="I38" i="10" s="1"/>
  <c r="I37" i="10"/>
  <c r="E36" i="10"/>
  <c r="D36" i="10"/>
  <c r="C36" i="10"/>
  <c r="H35" i="10"/>
  <c r="G35" i="10"/>
  <c r="D35" i="10"/>
  <c r="B35" i="10"/>
  <c r="I35" i="10" s="1"/>
  <c r="H34" i="10"/>
  <c r="G34" i="10"/>
  <c r="F34" i="10"/>
  <c r="E34" i="10"/>
  <c r="D34" i="10"/>
  <c r="C34" i="10"/>
  <c r="B34" i="10"/>
  <c r="I34" i="10" s="1"/>
  <c r="H33" i="10"/>
  <c r="G33" i="10"/>
  <c r="F33" i="10"/>
  <c r="E33" i="10"/>
  <c r="D33" i="10"/>
  <c r="C33" i="10"/>
  <c r="B33" i="10"/>
  <c r="I33" i="10" s="1"/>
  <c r="H32" i="10"/>
  <c r="G32" i="10"/>
  <c r="F32" i="10"/>
  <c r="E32" i="10"/>
  <c r="D32" i="10"/>
  <c r="C32" i="10"/>
  <c r="B32" i="10"/>
  <c r="I32" i="10" s="1"/>
  <c r="H31" i="10"/>
  <c r="H36" i="10" s="1"/>
  <c r="G31" i="10"/>
  <c r="G36" i="10" s="1"/>
  <c r="F31" i="10"/>
  <c r="F36" i="10" s="1"/>
  <c r="E31" i="10"/>
  <c r="D31" i="10"/>
  <c r="C31" i="10"/>
  <c r="B31" i="10"/>
  <c r="I31" i="10" s="1"/>
  <c r="I30" i="10"/>
  <c r="H26" i="10"/>
  <c r="F26" i="10"/>
  <c r="E26" i="10"/>
  <c r="D26" i="10"/>
  <c r="C26" i="10"/>
  <c r="B26" i="10"/>
  <c r="I25" i="10"/>
  <c r="G25" i="10"/>
  <c r="G26" i="10" s="1"/>
  <c r="I24" i="10"/>
  <c r="H22" i="10"/>
  <c r="H23" i="10" s="1"/>
  <c r="G22" i="10"/>
  <c r="G23" i="10" s="1"/>
  <c r="F22" i="10"/>
  <c r="F23" i="10" s="1"/>
  <c r="E22" i="10"/>
  <c r="E23" i="10" s="1"/>
  <c r="D22" i="10"/>
  <c r="D23" i="10" s="1"/>
  <c r="C22" i="10"/>
  <c r="C23" i="10" s="1"/>
  <c r="B22" i="10"/>
  <c r="B23" i="10" s="1"/>
  <c r="I23" i="10" s="1"/>
  <c r="I21" i="10"/>
  <c r="G20" i="10"/>
  <c r="E20" i="10"/>
  <c r="I19" i="10"/>
  <c r="F19" i="10"/>
  <c r="I18" i="10"/>
  <c r="F18" i="10"/>
  <c r="I17" i="10"/>
  <c r="G17" i="10"/>
  <c r="F17" i="10"/>
  <c r="E17" i="10"/>
  <c r="D17" i="10"/>
  <c r="F16" i="10"/>
  <c r="I16" i="10" s="1"/>
  <c r="F15" i="10"/>
  <c r="E15" i="10"/>
  <c r="I15" i="10" s="1"/>
  <c r="D15" i="10"/>
  <c r="C15" i="10"/>
  <c r="H14" i="10"/>
  <c r="H20" i="10" s="1"/>
  <c r="F14" i="10"/>
  <c r="F20" i="10" s="1"/>
  <c r="E14" i="10"/>
  <c r="D14" i="10"/>
  <c r="C14" i="10"/>
  <c r="C20" i="10" s="1"/>
  <c r="B14" i="10"/>
  <c r="B20" i="10" s="1"/>
  <c r="F13" i="10"/>
  <c r="E13" i="10"/>
  <c r="D13" i="10"/>
  <c r="D20" i="10" s="1"/>
  <c r="H12" i="10"/>
  <c r="F12" i="10"/>
  <c r="E12" i="10"/>
  <c r="C12" i="10"/>
  <c r="B12" i="10"/>
  <c r="G11" i="10"/>
  <c r="G12" i="10" s="1"/>
  <c r="D11" i="10"/>
  <c r="I11" i="10" s="1"/>
  <c r="I10" i="10"/>
  <c r="H8" i="10"/>
  <c r="H9" i="10" s="1"/>
  <c r="G8" i="10"/>
  <c r="G9" i="10" s="1"/>
  <c r="F8" i="10"/>
  <c r="F9" i="10" s="1"/>
  <c r="E8" i="10"/>
  <c r="E9" i="10" s="1"/>
  <c r="D8" i="10"/>
  <c r="D9" i="10" s="1"/>
  <c r="C8" i="10"/>
  <c r="C9" i="10" s="1"/>
  <c r="C27" i="10" s="1"/>
  <c r="C28" i="10" s="1"/>
  <c r="B8" i="10"/>
  <c r="B9" i="10" s="1"/>
  <c r="I7" i="10"/>
  <c r="D46" i="5" l="1"/>
  <c r="G90" i="10"/>
  <c r="B27" i="10"/>
  <c r="I9" i="10"/>
  <c r="H90" i="10"/>
  <c r="I51" i="10"/>
  <c r="I62" i="10"/>
  <c r="I84" i="10"/>
  <c r="I20" i="10"/>
  <c r="E27" i="10"/>
  <c r="E28" i="10" s="1"/>
  <c r="E91" i="10" s="1"/>
  <c r="E98" i="10" s="1"/>
  <c r="D90" i="10"/>
  <c r="I89" i="10"/>
  <c r="F27" i="10"/>
  <c r="F28" i="10" s="1"/>
  <c r="I26" i="10"/>
  <c r="E90" i="10"/>
  <c r="G27" i="10"/>
  <c r="G28" i="10" s="1"/>
  <c r="G91" i="10" s="1"/>
  <c r="I96" i="10"/>
  <c r="H27" i="10"/>
  <c r="H28" i="10" s="1"/>
  <c r="H91" i="10" s="1"/>
  <c r="H98" i="10" s="1"/>
  <c r="F90" i="10"/>
  <c r="D62" i="10"/>
  <c r="C72" i="10"/>
  <c r="C90" i="10" s="1"/>
  <c r="C91" i="10" s="1"/>
  <c r="C98" i="10" s="1"/>
  <c r="D51" i="10"/>
  <c r="D12" i="10"/>
  <c r="D27" i="10" s="1"/>
  <c r="D28" i="10" s="1"/>
  <c r="D91" i="10" s="1"/>
  <c r="D98" i="10" s="1"/>
  <c r="I14" i="10"/>
  <c r="I40" i="10"/>
  <c r="I41" i="10"/>
  <c r="I74" i="10"/>
  <c r="I86" i="10"/>
  <c r="I8" i="10"/>
  <c r="I13" i="10"/>
  <c r="I22" i="10"/>
  <c r="B43" i="10"/>
  <c r="I43" i="10" s="1"/>
  <c r="I78" i="10"/>
  <c r="I81" i="10"/>
  <c r="B36" i="10"/>
  <c r="G95" i="10"/>
  <c r="G96" i="10" s="1"/>
  <c r="G97" i="10" s="1"/>
  <c r="I97" i="10" s="1"/>
  <c r="B44" i="5"/>
  <c r="C44" i="5"/>
  <c r="B36" i="5"/>
  <c r="C36" i="5"/>
  <c r="F5" i="5"/>
  <c r="D36" i="5" l="1"/>
  <c r="D44" i="5"/>
  <c r="G98" i="10"/>
  <c r="I72" i="10"/>
  <c r="B28" i="10"/>
  <c r="I27" i="10"/>
  <c r="I12" i="10"/>
  <c r="I95" i="10"/>
  <c r="B90" i="10"/>
  <c r="I90" i="10" s="1"/>
  <c r="I36" i="10"/>
  <c r="F91" i="10"/>
  <c r="F98" i="10" s="1"/>
  <c r="C40" i="5"/>
  <c r="B40" i="5"/>
  <c r="B14" i="5"/>
  <c r="H14" i="5" s="1"/>
  <c r="B13" i="5"/>
  <c r="B16" i="5"/>
  <c r="H16" i="5" s="1"/>
  <c r="B15" i="5"/>
  <c r="H6" i="5"/>
  <c r="C50" i="5"/>
  <c r="C49" i="5"/>
  <c r="C42" i="5"/>
  <c r="C41" i="5"/>
  <c r="C34" i="5"/>
  <c r="C35" i="5"/>
  <c r="C37" i="5"/>
  <c r="C33" i="5"/>
  <c r="B33" i="5"/>
  <c r="H33" i="5" s="1"/>
  <c r="B50" i="5"/>
  <c r="D50" i="5" s="1"/>
  <c r="B49" i="5"/>
  <c r="B42" i="5"/>
  <c r="D42" i="5" s="1"/>
  <c r="B41" i="5"/>
  <c r="B34" i="5"/>
  <c r="B35" i="5"/>
  <c r="B37" i="5"/>
  <c r="B32" i="5"/>
  <c r="C5" i="5"/>
  <c r="B5" i="5"/>
  <c r="A2" i="5"/>
  <c r="H35" i="5" l="1"/>
  <c r="H36" i="5" s="1"/>
  <c r="D49" i="5"/>
  <c r="D51" i="5" s="1"/>
  <c r="D41" i="5"/>
  <c r="D40" i="5"/>
  <c r="D35" i="5"/>
  <c r="D34" i="5"/>
  <c r="D47" i="5"/>
  <c r="D33" i="5"/>
  <c r="D37" i="5"/>
  <c r="B38" i="5"/>
  <c r="H13" i="5"/>
  <c r="B17" i="5"/>
  <c r="H11" i="5"/>
  <c r="H15" i="5"/>
  <c r="D15" i="5"/>
  <c r="C38" i="5"/>
  <c r="B47" i="5"/>
  <c r="C47" i="5"/>
  <c r="I28" i="10"/>
  <c r="B91" i="10"/>
  <c r="B51" i="5"/>
  <c r="D6" i="5"/>
  <c r="C51" i="5"/>
  <c r="B11" i="5"/>
  <c r="F11" i="5"/>
  <c r="D52" i="5" l="1"/>
  <c r="D38" i="5"/>
  <c r="H17" i="5"/>
  <c r="H28" i="5" s="1"/>
  <c r="B28" i="5"/>
  <c r="B18" i="5"/>
  <c r="C28" i="5"/>
  <c r="C18" i="5"/>
  <c r="I91" i="10"/>
  <c r="B98" i="10"/>
  <c r="I98" i="10" s="1"/>
  <c r="C52" i="5"/>
  <c r="B52" i="5"/>
  <c r="H18" i="5" l="1"/>
  <c r="F28" i="5" l="1"/>
  <c r="F18" i="5"/>
  <c r="D16" i="5"/>
  <c r="D13" i="5"/>
  <c r="D20" i="5"/>
  <c r="D26" i="5" s="1"/>
  <c r="D14" i="5"/>
  <c r="D17" i="5" l="1"/>
  <c r="D11" i="5"/>
  <c r="D28" i="5" l="1"/>
  <c r="D18" i="5" l="1"/>
</calcChain>
</file>

<file path=xl/sharedStrings.xml><?xml version="1.0" encoding="utf-8"?>
<sst xmlns="http://schemas.openxmlformats.org/spreadsheetml/2006/main" count="1209" uniqueCount="468">
  <si>
    <t>Statement of Activities</t>
  </si>
  <si>
    <t>Cash Summary</t>
  </si>
  <si>
    <t>Cash &amp; Investments</t>
  </si>
  <si>
    <t>Other Income</t>
  </si>
  <si>
    <t>Goal</t>
  </si>
  <si>
    <t>Total Income</t>
  </si>
  <si>
    <t>Total Expense</t>
  </si>
  <si>
    <t>Net Income/(Loss)</t>
  </si>
  <si>
    <t>Statement of Financial Position</t>
  </si>
  <si>
    <t>Cash and Equivalents</t>
  </si>
  <si>
    <t>Total Assets</t>
  </si>
  <si>
    <t>Total Liabilities</t>
  </si>
  <si>
    <t>Unrestricted</t>
  </si>
  <si>
    <t>Total Net Assets</t>
  </si>
  <si>
    <t>Total</t>
  </si>
  <si>
    <t>Actual</t>
  </si>
  <si>
    <t>Budget</t>
  </si>
  <si>
    <t>over Budget</t>
  </si>
  <si>
    <t>% of Budget</t>
  </si>
  <si>
    <t>Income</t>
  </si>
  <si>
    <t>Gross Profit</t>
  </si>
  <si>
    <t>Expenses</t>
  </si>
  <si>
    <t>Total Expenses</t>
  </si>
  <si>
    <t>Net Operating Income</t>
  </si>
  <si>
    <t>Net Income</t>
  </si>
  <si>
    <t>ASSETS</t>
  </si>
  <si>
    <t xml:space="preserve">   Current Assets</t>
  </si>
  <si>
    <t xml:space="preserve">      Bank Accounts</t>
  </si>
  <si>
    <t xml:space="preserve">      Total Bank Accounts</t>
  </si>
  <si>
    <t xml:space="preserve">      Other Current Assets</t>
  </si>
  <si>
    <t xml:space="preserve">      Total Other Current Assets</t>
  </si>
  <si>
    <t xml:space="preserve">   Total Current Assets</t>
  </si>
  <si>
    <t xml:space="preserve">   Fixed Assets</t>
  </si>
  <si>
    <t xml:space="preserve">   Total Fixed Assets</t>
  </si>
  <si>
    <t>TOTAL ASSETS</t>
  </si>
  <si>
    <t>LIABILITIES AND EQUITY</t>
  </si>
  <si>
    <t xml:space="preserve">   Liabilities</t>
  </si>
  <si>
    <t xml:space="preserve">      Current Liabilities</t>
  </si>
  <si>
    <t xml:space="preserve">         Accounts Payable</t>
  </si>
  <si>
    <t xml:space="preserve">         Total Accounts Payable</t>
  </si>
  <si>
    <t xml:space="preserve">         Credit Cards</t>
  </si>
  <si>
    <t xml:space="preserve">         Total Credit Cards</t>
  </si>
  <si>
    <t xml:space="preserve">         Other Current Liabilities</t>
  </si>
  <si>
    <t xml:space="preserve">         Total Other Current Liabilities</t>
  </si>
  <si>
    <t xml:space="preserve">      Total Current Liabilities</t>
  </si>
  <si>
    <t xml:space="preserve">   Total Liabilities</t>
  </si>
  <si>
    <t xml:space="preserve">   Equity</t>
  </si>
  <si>
    <t xml:space="preserve">   Total Equity</t>
  </si>
  <si>
    <t>TOTAL LIABILITIES AND EQUITY</t>
  </si>
  <si>
    <t>Variance</t>
  </si>
  <si>
    <t>Prepaid Expenses</t>
  </si>
  <si>
    <t>Dates</t>
  </si>
  <si>
    <t>Current Year</t>
  </si>
  <si>
    <t>Prior Year</t>
  </si>
  <si>
    <t>Month End</t>
  </si>
  <si>
    <t>Ann Bancroft Foundation</t>
  </si>
  <si>
    <t xml:space="preserve">   r400x INDIVIDUAL GIVING (r)</t>
  </si>
  <si>
    <t xml:space="preserve">      4000 Annual Campaign</t>
  </si>
  <si>
    <t xml:space="preserve">   Total r400x INDIVIDUAL GIVING (r)</t>
  </si>
  <si>
    <t xml:space="preserve">   r410X INSTITUTIONAL GIVING (r)</t>
  </si>
  <si>
    <t xml:space="preserve">      4100 Corporate / Foundation Grants</t>
  </si>
  <si>
    <t xml:space="preserve">   Total r410X INSTITUTIONAL GIVING (r)</t>
  </si>
  <si>
    <t xml:space="preserve">   r470x ANNUAL EVENT INCOME (r)</t>
  </si>
  <si>
    <t xml:space="preserve">      4700 Event Sponsors</t>
  </si>
  <si>
    <t xml:space="preserve">      4710 Tickets / Tables</t>
  </si>
  <si>
    <t xml:space="preserve">      4720 Auction</t>
  </si>
  <si>
    <t xml:space="preserve">      4730 Donations (Annual Event)</t>
  </si>
  <si>
    <t xml:space="preserve">      4740 Wine Pull &amp; Chance Wall</t>
  </si>
  <si>
    <t xml:space="preserve">   Total r470x ANNUAL EVENT INCOME (r)</t>
  </si>
  <si>
    <t xml:space="preserve">   r600X SALARIES &amp; BENEFITS (r)</t>
  </si>
  <si>
    <t xml:space="preserve">      6000 Wages</t>
  </si>
  <si>
    <t xml:space="preserve">      6005 Payroll Taxes (employer)</t>
  </si>
  <si>
    <t xml:space="preserve">      6006 Unemployment Tax (fed &amp; state)</t>
  </si>
  <si>
    <t xml:space="preserve">      6007 Healthcare</t>
  </si>
  <si>
    <t xml:space="preserve">      6020 Education</t>
  </si>
  <si>
    <t xml:space="preserve">   Total r600X SALARIES &amp; BENEFITS (r)</t>
  </si>
  <si>
    <t xml:space="preserve">   r604x CONTRACT, OUTSIDE &amp; PROFESSIONAL SVCS (r)</t>
  </si>
  <si>
    <t xml:space="preserve">      6045 Consulting &amp; Outside Services</t>
  </si>
  <si>
    <t xml:space="preserve">      6090 Accounting</t>
  </si>
  <si>
    <t xml:space="preserve">      6093 Payroll Service Fee</t>
  </si>
  <si>
    <t xml:space="preserve">   Total r604x CONTRACT, OUTSIDE &amp; PROFESSIONAL SVCS (r)</t>
  </si>
  <si>
    <t xml:space="preserve">   r610x GRANTS, TRAVEL, DIRECT PROGRAM (r)</t>
  </si>
  <si>
    <t xml:space="preserve">      6100 Alumnae Programming</t>
  </si>
  <si>
    <t xml:space="preserve">      6155 General Grants</t>
  </si>
  <si>
    <t xml:space="preserve">      6200 Mileage &amp; Parking</t>
  </si>
  <si>
    <t xml:space="preserve">      6205 Meals / Food</t>
  </si>
  <si>
    <t xml:space="preserve">   Total r610x GRANTS, TRAVEL, DIRECT PROGRAM (r)</t>
  </si>
  <si>
    <t xml:space="preserve">   r625x ANNUAL EVENT FOOD, FACILITIES, &amp; ENTERTAINMENT (r)</t>
  </si>
  <si>
    <t xml:space="preserve">      6250 Banquet Food (annual event)</t>
  </si>
  <si>
    <t xml:space="preserve">      6255 Event Space Rental</t>
  </si>
  <si>
    <t xml:space="preserve">      6265 Entertainment</t>
  </si>
  <si>
    <t xml:space="preserve">      6270 Event Contract Services</t>
  </si>
  <si>
    <t xml:space="preserve">      6275 Event Misc Expense</t>
  </si>
  <si>
    <t xml:space="preserve">      6280 Event Technology</t>
  </si>
  <si>
    <t xml:space="preserve">      6281 Event Postage</t>
  </si>
  <si>
    <t xml:space="preserve">      6282 Event Printing</t>
  </si>
  <si>
    <t xml:space="preserve">   Total r625x ANNUAL EVENT FOOD, FACILITIES, &amp; ENTERTAINMENT (r)</t>
  </si>
  <si>
    <t xml:space="preserve">   r630X OFFICE &amp; OCCUPANCY (r)</t>
  </si>
  <si>
    <t xml:space="preserve">      6300 Rent</t>
  </si>
  <si>
    <t xml:space="preserve">      6320 Telephone/Internet</t>
  </si>
  <si>
    <t xml:space="preserve">      6330 Database Management</t>
  </si>
  <si>
    <t xml:space="preserve">      6400 Supplies</t>
  </si>
  <si>
    <t xml:space="preserve">      6440 Postage / Delivery</t>
  </si>
  <si>
    <t xml:space="preserve">      6450 Office Equipment (minor)</t>
  </si>
  <si>
    <t xml:space="preserve">      6460 Insurance</t>
  </si>
  <si>
    <t xml:space="preserve">   Total r630X OFFICE &amp; OCCUPANCY (r)</t>
  </si>
  <si>
    <t xml:space="preserve">   r650x MARKETING, DESIGN, PRINTING (r)</t>
  </si>
  <si>
    <t xml:space="preserve">      6550 Web Management</t>
  </si>
  <si>
    <t xml:space="preserve">      6560 Marketing &amp; PR</t>
  </si>
  <si>
    <t xml:space="preserve">      6595 Volunteer Appreciation</t>
  </si>
  <si>
    <t xml:space="preserve">   Total r650x MARKETING, DESIGN, PRINTING (r)</t>
  </si>
  <si>
    <t xml:space="preserve">   r675x FEES, DUES, MEMBERSHIPS (r)</t>
  </si>
  <si>
    <t xml:space="preserve">      6750 Memberships, Dues, &amp; Subscriptions</t>
  </si>
  <si>
    <t xml:space="preserve">      6770 Bank Charges</t>
  </si>
  <si>
    <t xml:space="preserve">      6775 Third Party Processing Fees</t>
  </si>
  <si>
    <t xml:space="preserve">   Total r675x FEES, DUES, MEMBERSHIPS (r)</t>
  </si>
  <si>
    <t xml:space="preserve">   r693x MISCELLANEOUS &amp; OTHER (r)</t>
  </si>
  <si>
    <t xml:space="preserve">      6930 Miscellaneous Expense</t>
  </si>
  <si>
    <t xml:space="preserve">      6980 Depreciation</t>
  </si>
  <si>
    <t xml:space="preserve">   Total r693x MISCELLANEOUS &amp; OTHER (r)</t>
  </si>
  <si>
    <t>Profit and Loss by Month</t>
  </si>
  <si>
    <t>TOTAL</t>
  </si>
  <si>
    <t>Administrative</t>
  </si>
  <si>
    <t>Total Liab &amp; Net Assets</t>
  </si>
  <si>
    <t>Jan 2023</t>
  </si>
  <si>
    <t>Feb 2023</t>
  </si>
  <si>
    <t>Mar 2023</t>
  </si>
  <si>
    <t>Apr 2023</t>
  </si>
  <si>
    <t>May 2023</t>
  </si>
  <si>
    <t>Jun 2023</t>
  </si>
  <si>
    <t>Cash Flow</t>
  </si>
  <si>
    <t>&gt;6</t>
  </si>
  <si>
    <t>Total Unrestricted Cash</t>
  </si>
  <si>
    <t>Less: Restricted Cash</t>
  </si>
  <si>
    <t xml:space="preserve">   r490x OTHER INCOME (r)</t>
  </si>
  <si>
    <t xml:space="preserve">      4980 Interest Income</t>
  </si>
  <si>
    <t xml:space="preserve">   Total r490x OTHER INCOME (r)</t>
  </si>
  <si>
    <t/>
  </si>
  <si>
    <t xml:space="preserve">      6570 Promotional Items</t>
  </si>
  <si>
    <t xml:space="preserve">      6165 Grant returns/reallocation</t>
  </si>
  <si>
    <t xml:space="preserve">      6040 Independent Contractor</t>
  </si>
  <si>
    <t xml:space="preserve">      6085 Media Work</t>
  </si>
  <si>
    <t xml:space="preserve">      6210 Travel/Hotel</t>
  </si>
  <si>
    <t xml:space="preserve">      6260 Decorations / Event Environment</t>
  </si>
  <si>
    <t xml:space="preserve">      6520 Graphic Design</t>
  </si>
  <si>
    <t>Budget vs. Actuals</t>
  </si>
  <si>
    <t>Accounts Payable</t>
  </si>
  <si>
    <t>Notes</t>
  </si>
  <si>
    <t xml:space="preserve">      4750 Event In-Kind Donations</t>
  </si>
  <si>
    <t xml:space="preserve">   r700x TEMP RESTRICTED CONTRIBUTIONS (r)</t>
  </si>
  <si>
    <t xml:space="preserve">      7010 Other Miscellaneous Revenue TR</t>
  </si>
  <si>
    <t xml:space="preserve">   Total r700x TEMP RESTRICTED CONTRIBUTIONS (r)</t>
  </si>
  <si>
    <t xml:space="preserve">   r740x TR - RELEASED FROM RESTRICTIONS (r)</t>
  </si>
  <si>
    <t xml:space="preserve">      7441 TR Release - Institutional</t>
  </si>
  <si>
    <t xml:space="preserve">   Total r740x TR - RELEASED FROM RESTRICTIONS (r)</t>
  </si>
  <si>
    <t>Total Other Income</t>
  </si>
  <si>
    <t>Net Other Income</t>
  </si>
  <si>
    <t>January 1 - July 25, 2023</t>
  </si>
  <si>
    <t>Jul 1-25, 2023</t>
  </si>
  <si>
    <t xml:space="preserve">      6345 Technology</t>
  </si>
  <si>
    <t xml:space="preserve">      6990 Gifts In Kind Expenses</t>
  </si>
  <si>
    <t>Total Operating Income/(Loss)</t>
  </si>
  <si>
    <t>Other Income/(Loss)</t>
  </si>
  <si>
    <t>Current Month</t>
  </si>
  <si>
    <t>% Change</t>
  </si>
  <si>
    <t>Change</t>
  </si>
  <si>
    <t>Months of Unrestricted Cash &amp; Inv</t>
  </si>
  <si>
    <t>FN1</t>
  </si>
  <si>
    <t xml:space="preserve">estimate of how many months the organization could survive. </t>
  </si>
  <si>
    <t xml:space="preserve">FN1: This depicts how much in cash and investments the organization has in terms of months of expenditures (estimated based on the annual budgeted expenses). If revenue were to completely stop, this is an </t>
  </si>
  <si>
    <t>Interest Expense</t>
  </si>
  <si>
    <t>Minnesota Home Care Association</t>
  </si>
  <si>
    <t>Minnesota HomeCare Association</t>
  </si>
  <si>
    <t>Revenue</t>
  </si>
  <si>
    <t>Total Revenue</t>
  </si>
  <si>
    <t>Expenditures</t>
  </si>
  <si>
    <t>Total Expenditures</t>
  </si>
  <si>
    <t>Net Operating Revenue</t>
  </si>
  <si>
    <t>Other Revenue</t>
  </si>
  <si>
    <t xml:space="preserve">   Credit Card Rewards</t>
  </si>
  <si>
    <t>Total Other Revenue</t>
  </si>
  <si>
    <t>Other Expenditures</t>
  </si>
  <si>
    <t>Total Other Expenditures</t>
  </si>
  <si>
    <t>Net Other Revenue</t>
  </si>
  <si>
    <t>Net Revenue</t>
  </si>
  <si>
    <t>Membership Dues</t>
  </si>
  <si>
    <t>Annual Meeting</t>
  </si>
  <si>
    <t>Event Expenses</t>
  </si>
  <si>
    <t>Professional Services</t>
  </si>
  <si>
    <t>Investment Income (Loss)</t>
  </si>
  <si>
    <t>Interest Income</t>
  </si>
  <si>
    <t>Other Operating Expenses</t>
  </si>
  <si>
    <t xml:space="preserve">Statement of Financial Position Comparison </t>
  </si>
  <si>
    <t xml:space="preserve">      Accounts Receivable</t>
  </si>
  <si>
    <t xml:space="preserve">      Total Accounts Receivable</t>
  </si>
  <si>
    <t xml:space="preserve">      Net Revenue</t>
  </si>
  <si>
    <t>Accounts Receivable</t>
  </si>
  <si>
    <t>Investments</t>
  </si>
  <si>
    <t>Fixed Assets, net</t>
  </si>
  <si>
    <t>Credit Cards Payable</t>
  </si>
  <si>
    <t>Payroll Accruals</t>
  </si>
  <si>
    <t>Deferred Dues</t>
  </si>
  <si>
    <t>SBA Loan</t>
  </si>
  <si>
    <t>Deferred Other</t>
  </si>
  <si>
    <t>Statement of Activity by Month</t>
  </si>
  <si>
    <t>Statement of Activity by Class</t>
  </si>
  <si>
    <t>Education Services</t>
  </si>
  <si>
    <t>Annual Mtg.</t>
  </si>
  <si>
    <t>Webinars</t>
  </si>
  <si>
    <t>State Partners</t>
  </si>
  <si>
    <t>Total Webinars</t>
  </si>
  <si>
    <t>Total Education Services</t>
  </si>
  <si>
    <t>Membership &amp; Marketing</t>
  </si>
  <si>
    <t>Statement of Activity Comparison</t>
  </si>
  <si>
    <t>Admin</t>
  </si>
  <si>
    <t>Marketing &amp; Membership</t>
  </si>
  <si>
    <t>Education</t>
  </si>
  <si>
    <t>Other Expense</t>
  </si>
  <si>
    <t>Payroll &amp; Benefits</t>
  </si>
  <si>
    <t>Other Education</t>
  </si>
  <si>
    <t>Sponsorships</t>
  </si>
  <si>
    <t>Variance vs. Budget</t>
  </si>
  <si>
    <t xml:space="preserve">   Education Seminars/Webinars</t>
  </si>
  <si>
    <t xml:space="preserve">   Total Education Seminars/Webinars</t>
  </si>
  <si>
    <t>Consolitaed into 1 account for 2023/2024</t>
  </si>
  <si>
    <t>Variance vs. 2023</t>
  </si>
  <si>
    <t>Jan 2024</t>
  </si>
  <si>
    <t xml:space="preserve">   4.1 Membership Dues</t>
  </si>
  <si>
    <t xml:space="preserve">      Business Partner Dues</t>
  </si>
  <si>
    <t xml:space="preserve">      Provider Member Dues</t>
  </si>
  <si>
    <t xml:space="preserve">      Tier 1 Dues</t>
  </si>
  <si>
    <t xml:space="preserve">      Tier 2 Dues</t>
  </si>
  <si>
    <t xml:space="preserve">      Tier 3 Dues</t>
  </si>
  <si>
    <t xml:space="preserve">      Tier 4 Dues</t>
  </si>
  <si>
    <t xml:space="preserve">      Tier 5 Dues</t>
  </si>
  <si>
    <t xml:space="preserve">      Tier 6 Dues</t>
  </si>
  <si>
    <t xml:space="preserve">      Tier 7 Dues</t>
  </si>
  <si>
    <t xml:space="preserve">   Total 4.1 Membership Dues</t>
  </si>
  <si>
    <t xml:space="preserve">   4.2 Event Income</t>
  </si>
  <si>
    <t xml:space="preserve">      Annual Meeting</t>
  </si>
  <si>
    <t xml:space="preserve">         Conference Registrations</t>
  </si>
  <si>
    <t xml:space="preserve">         Exhibitor Registration</t>
  </si>
  <si>
    <t xml:space="preserve">      Total Annual Meeting</t>
  </si>
  <si>
    <t xml:space="preserve">      Education Seminars/Webinars</t>
  </si>
  <si>
    <t xml:space="preserve">   Total 4.2 Event Income</t>
  </si>
  <si>
    <t xml:space="preserve">   4.3 Non-Dues Revenue</t>
  </si>
  <si>
    <t xml:space="preserve">      Career Center</t>
  </si>
  <si>
    <t xml:space="preserve">      CC Convenience Fee</t>
  </si>
  <si>
    <t xml:space="preserve">      Merchandise Sales</t>
  </si>
  <si>
    <t xml:space="preserve">      MHCF</t>
  </si>
  <si>
    <t xml:space="preserve">      Other (Misc) Income</t>
  </si>
  <si>
    <t xml:space="preserve">   Total 4.3 Non-Dues Revenue</t>
  </si>
  <si>
    <t xml:space="preserve">   4.4 Sponsorships</t>
  </si>
  <si>
    <t xml:space="preserve">      Employee Benefits</t>
  </si>
  <si>
    <t xml:space="preserve">   Event Expenses</t>
  </si>
  <si>
    <t xml:space="preserve">      Annual Meeting Expenses</t>
  </si>
  <si>
    <t xml:space="preserve">   Total Event Expenses</t>
  </si>
  <si>
    <t xml:space="preserve">   Operations Expenses</t>
  </si>
  <si>
    <t xml:space="preserve">      Bad Debt Expense</t>
  </si>
  <si>
    <t xml:space="preserve">      Bank &amp; Credit Card Charges</t>
  </si>
  <si>
    <t xml:space="preserve">      Communications</t>
  </si>
  <si>
    <t xml:space="preserve">      Conference Reg / Staff Training</t>
  </si>
  <si>
    <t xml:space="preserve">      Dues</t>
  </si>
  <si>
    <t xml:space="preserve">      Equipment Repairs/Maintenance</t>
  </si>
  <si>
    <t xml:space="preserve">      Insurance</t>
  </si>
  <si>
    <t xml:space="preserve">      Meetings/Retreats</t>
  </si>
  <si>
    <t xml:space="preserve">      Office Equipment &amp; Furniture</t>
  </si>
  <si>
    <t xml:space="preserve">      Office Lease</t>
  </si>
  <si>
    <t xml:space="preserve">      Office Supplies</t>
  </si>
  <si>
    <t xml:space="preserve">      Other (Misc) Expenses</t>
  </si>
  <si>
    <t xml:space="preserve">      Postage/Delivery</t>
  </si>
  <si>
    <t xml:space="preserve">      Printing</t>
  </si>
  <si>
    <t xml:space="preserve">      Web Based Training (RCTC)</t>
  </si>
  <si>
    <t xml:space="preserve">      Website Fee</t>
  </si>
  <si>
    <t xml:space="preserve">   Total Operations Expenses</t>
  </si>
  <si>
    <t xml:space="preserve">   Payroll Expenses</t>
  </si>
  <si>
    <t xml:space="preserve">      Employee Salary</t>
  </si>
  <si>
    <t xml:space="preserve">      Employer Taxes</t>
  </si>
  <si>
    <t xml:space="preserve">      Payroll Services</t>
  </si>
  <si>
    <t xml:space="preserve">   Total Payroll Expenses</t>
  </si>
  <si>
    <t xml:space="preserve">   Professional Services</t>
  </si>
  <si>
    <t xml:space="preserve">      Contract - Misc</t>
  </si>
  <si>
    <t xml:space="preserve">      Government Affairs Contract</t>
  </si>
  <si>
    <t xml:space="preserve">      Legal Fees</t>
  </si>
  <si>
    <t xml:space="preserve">      Nurse Consulting Fees</t>
  </si>
  <si>
    <t xml:space="preserve">      Outside Accounting</t>
  </si>
  <si>
    <t xml:space="preserve">   Total Professional Services</t>
  </si>
  <si>
    <t xml:space="preserve">   Staff Travel Expenses</t>
  </si>
  <si>
    <t xml:space="preserve">      Dining</t>
  </si>
  <si>
    <t xml:space="preserve">      Lodging</t>
  </si>
  <si>
    <t xml:space="preserve">      Travel</t>
  </si>
  <si>
    <t xml:space="preserve">   Total Staff Travel Expenses</t>
  </si>
  <si>
    <t xml:space="preserve">   Dividend Income</t>
  </si>
  <si>
    <t xml:space="preserve">   Interest Income</t>
  </si>
  <si>
    <t xml:space="preserve">   Realized Gain/Loss on Sale</t>
  </si>
  <si>
    <t xml:space="preserve">   Unrealized Gain (Loss)</t>
  </si>
  <si>
    <t xml:space="preserve">   Income Tax</t>
  </si>
  <si>
    <t xml:space="preserve">   Interest Expense</t>
  </si>
  <si>
    <t>Budget vs. Actuals: Budget_FY24_P&amp;L - FY24 P&amp;L  Classes</t>
  </si>
  <si>
    <t>VP Comments</t>
  </si>
  <si>
    <t xml:space="preserve">      Long-Term Liabilities</t>
  </si>
  <si>
    <t xml:space="preserve">      Total Long-Term Liabilities</t>
  </si>
  <si>
    <t xml:space="preserve">      Recruitment Expenses</t>
  </si>
  <si>
    <t xml:space="preserve">      Payroll Expenses-1 (deleted)</t>
  </si>
  <si>
    <t>January - December 2024</t>
  </si>
  <si>
    <t>Total by Month</t>
  </si>
  <si>
    <t>Total per report</t>
  </si>
  <si>
    <t>Check</t>
  </si>
  <si>
    <t xml:space="preserve">      Revenue Share</t>
  </si>
  <si>
    <t>Moved Rev Share from Misc to here</t>
  </si>
  <si>
    <t>Moved Rev share from Misc to own line</t>
  </si>
  <si>
    <t>Investment income moved to Other Income (below)</t>
  </si>
  <si>
    <t xml:space="preserve">      Foundation Expenses for Reimb</t>
  </si>
  <si>
    <t>Income Taxes</t>
  </si>
  <si>
    <t>RCTC</t>
  </si>
  <si>
    <t xml:space="preserve">   4000 Membership Dues</t>
  </si>
  <si>
    <t xml:space="preserve">      4001 Tier 1 Dues</t>
  </si>
  <si>
    <t xml:space="preserve">      4002 Tier 2 Dues</t>
  </si>
  <si>
    <t xml:space="preserve">      4003 Tier 3 Dues</t>
  </si>
  <si>
    <t xml:space="preserve">      4004 Tier 4 Dues</t>
  </si>
  <si>
    <t xml:space="preserve">      4005 Tier 5 Dues</t>
  </si>
  <si>
    <t xml:space="preserve">      4006 Tier 6 Dues</t>
  </si>
  <si>
    <t xml:space="preserve">      4007 Tier 7 Dues</t>
  </si>
  <si>
    <t xml:space="preserve">      4050 Business Partner Dues</t>
  </si>
  <si>
    <t xml:space="preserve">   Total 4000 Membership Dues</t>
  </si>
  <si>
    <t xml:space="preserve">   4100 Event Income</t>
  </si>
  <si>
    <t xml:space="preserve">      4110 Annual Meeting</t>
  </si>
  <si>
    <t xml:space="preserve">         4111 Conference Registrations</t>
  </si>
  <si>
    <t xml:space="preserve">         4112 Exhibitor Registration</t>
  </si>
  <si>
    <t xml:space="preserve">      Total 4110 Annual Meeting</t>
  </si>
  <si>
    <t xml:space="preserve">      4160 Education Seminars/Webinars</t>
  </si>
  <si>
    <t xml:space="preserve">         4161 Education Seminars/Webinars</t>
  </si>
  <si>
    <t xml:space="preserve">      Total 4160 Education Seminars/Webinars</t>
  </si>
  <si>
    <t xml:space="preserve">   Total 4100 Event Income</t>
  </si>
  <si>
    <t xml:space="preserve">   4300 Sponsorships</t>
  </si>
  <si>
    <t xml:space="preserve">   4900 Other Revenue</t>
  </si>
  <si>
    <t xml:space="preserve">      4910 Merchandise Sales</t>
  </si>
  <si>
    <t xml:space="preserve">      4920 Career Center</t>
  </si>
  <si>
    <t xml:space="preserve">      4925 CC Convenience Fee</t>
  </si>
  <si>
    <t xml:space="preserve">      4935 MHCF</t>
  </si>
  <si>
    <t xml:space="preserve">      4990 Other (Misc) Income</t>
  </si>
  <si>
    <t xml:space="preserve">   Total 4900 Other Revenue</t>
  </si>
  <si>
    <t xml:space="preserve">   5000 Event Expenses</t>
  </si>
  <si>
    <t xml:space="preserve">      5010 Annual Meeting Expenses</t>
  </si>
  <si>
    <t xml:space="preserve">      5030 Education Seminars/Webinars</t>
  </si>
  <si>
    <t xml:space="preserve">   Total 5000 Event Expenses</t>
  </si>
  <si>
    <t xml:space="preserve">   6000 Payroll Expenses</t>
  </si>
  <si>
    <t xml:space="preserve">      6010 Employee Salary</t>
  </si>
  <si>
    <t xml:space="preserve">      6020 Employer Taxes</t>
  </si>
  <si>
    <t xml:space="preserve">      6030 Employee Benefits</t>
  </si>
  <si>
    <t xml:space="preserve">      6035 ER Retirement Contributions</t>
  </si>
  <si>
    <t xml:space="preserve">      6040 Payroll Services</t>
  </si>
  <si>
    <t xml:space="preserve">   Total 6000 Payroll Expenses</t>
  </si>
  <si>
    <t xml:space="preserve">   6100 Professional Services</t>
  </si>
  <si>
    <t xml:space="preserve">      6130 Government Affairs Contract</t>
  </si>
  <si>
    <t xml:space="preserve">      6140 Legal Fees</t>
  </si>
  <si>
    <t xml:space="preserve">      6150 Outside Accounting</t>
  </si>
  <si>
    <t xml:space="preserve">      6190 Contract - Misc</t>
  </si>
  <si>
    <t xml:space="preserve">   Total 6100 Professional Services</t>
  </si>
  <si>
    <t xml:space="preserve">   6500 Staff Travel Expenses</t>
  </si>
  <si>
    <t xml:space="preserve">      6510 Dining</t>
  </si>
  <si>
    <t xml:space="preserve">      6520 Travel</t>
  </si>
  <si>
    <t xml:space="preserve">      6530 Lodging</t>
  </si>
  <si>
    <t xml:space="preserve">   Total 6500 Staff Travel Expenses</t>
  </si>
  <si>
    <t xml:space="preserve">   6800 Operations Expenses</t>
  </si>
  <si>
    <t xml:space="preserve">      6810 Bad Debt Expense</t>
  </si>
  <si>
    <t xml:space="preserve">      6815 Bank &amp; Credit Card Charges</t>
  </si>
  <si>
    <t xml:space="preserve">      6820 Communications</t>
  </si>
  <si>
    <t xml:space="preserve">      6825 Conference Reg / Staff Training</t>
  </si>
  <si>
    <t xml:space="preserve">      6830 Dues</t>
  </si>
  <si>
    <t xml:space="preserve">      6835 Equipment Repairs/Maintenance</t>
  </si>
  <si>
    <t xml:space="preserve">      6840 Insurance</t>
  </si>
  <si>
    <t xml:space="preserve">      6845 Meetings/Retreats</t>
  </si>
  <si>
    <t xml:space="preserve">      6860 Office Equipment &amp; Furniture</t>
  </si>
  <si>
    <t xml:space="preserve">      6865 Office Lease</t>
  </si>
  <si>
    <t xml:space="preserve">      6870 Office Supplies</t>
  </si>
  <si>
    <t xml:space="preserve">      6875 Other (Misc) Expenses</t>
  </si>
  <si>
    <t xml:space="preserve">      6880 Postage/Delivery</t>
  </si>
  <si>
    <t xml:space="preserve">      6885 Printing</t>
  </si>
  <si>
    <t xml:space="preserve">      6915 Website Fee</t>
  </si>
  <si>
    <t xml:space="preserve">   Total 6800 Operations Expenses</t>
  </si>
  <si>
    <t xml:space="preserve">   7010 Dividend Income</t>
  </si>
  <si>
    <t xml:space="preserve">   7020 Interest Income</t>
  </si>
  <si>
    <t xml:space="preserve">   7030 Unrealized Gain (Loss)</t>
  </si>
  <si>
    <t xml:space="preserve">   7050 Realized Gain/Loss on Sale</t>
  </si>
  <si>
    <t xml:space="preserve">   7110 Interest Expense</t>
  </si>
  <si>
    <t xml:space="preserve">   7190 Income Tax</t>
  </si>
  <si>
    <t xml:space="preserve">         1000 Petty Cash</t>
  </si>
  <si>
    <t xml:space="preserve">         1010 Checking North Star Bank</t>
  </si>
  <si>
    <t xml:space="preserve">         1020 PrimeSweep</t>
  </si>
  <si>
    <t xml:space="preserve">         2100 Checking North Star Bank</t>
  </si>
  <si>
    <t xml:space="preserve">         1100 Accounts Receivable</t>
  </si>
  <si>
    <t xml:space="preserve">         1110 Allowance for doubtfull Account</t>
  </si>
  <si>
    <t xml:space="preserve">         1120 YM Accounts Receivable</t>
  </si>
  <si>
    <t xml:space="preserve">         1200 Mutual Funds-Reserve Account</t>
  </si>
  <si>
    <t xml:space="preserve">            1205 Short Term Investments</t>
  </si>
  <si>
    <t xml:space="preserve">            1210 CD - Athene 6341</t>
  </si>
  <si>
    <t xml:space="preserve">            1211 CD - Athene 6340</t>
  </si>
  <si>
    <t xml:space="preserve">            1212 CD - Athene 6338</t>
  </si>
  <si>
    <t xml:space="preserve">            1290 Gain/Loss on Mutual Fund Invest</t>
  </si>
  <si>
    <t xml:space="preserve">         Total 1200 Mutual Funds-Reserve Account</t>
  </si>
  <si>
    <t xml:space="preserve">         1300 Undeposited Funds</t>
  </si>
  <si>
    <t xml:space="preserve">         1400 Prepaid Expenses</t>
  </si>
  <si>
    <t xml:space="preserve">      1600 Office Equipment &amp; Furniture</t>
  </si>
  <si>
    <t xml:space="preserve">      1650 Accumulated Depreciation</t>
  </si>
  <si>
    <t xml:space="preserve">            2000 Accounts Payable</t>
  </si>
  <si>
    <t xml:space="preserve">            2100 Capital One</t>
  </si>
  <si>
    <t xml:space="preserve">            2200 Accrued Expenses</t>
  </si>
  <si>
    <t xml:space="preserve">            2210 Accrued Payroll</t>
  </si>
  <si>
    <t xml:space="preserve">            2220 Accrued PTO</t>
  </si>
  <si>
    <t xml:space="preserve">            2300 Accrued Payroll Liabilities</t>
  </si>
  <si>
    <t xml:space="preserve">               2305 Federal Withholding</t>
  </si>
  <si>
    <t xml:space="preserve">               2310 Federal Unemployment</t>
  </si>
  <si>
    <t xml:space="preserve">               2315 MN Withholding</t>
  </si>
  <si>
    <t xml:space="preserve">               2320 MN Unemployment</t>
  </si>
  <si>
    <t xml:space="preserve">               2325 OR Withholding</t>
  </si>
  <si>
    <t xml:space="preserve">               2330 Benefits</t>
  </si>
  <si>
    <t xml:space="preserve">               2335 Simple IRA</t>
  </si>
  <si>
    <t xml:space="preserve">               AD&amp;D (deleted)</t>
  </si>
  <si>
    <t xml:space="preserve">               Dental Insurance (deleted)</t>
  </si>
  <si>
    <t xml:space="preserve">               General Life (deleted)</t>
  </si>
  <si>
    <t xml:space="preserve">               LTD (deleted)</t>
  </si>
  <si>
    <t xml:space="preserve">               OR Unemployment (deleted)</t>
  </si>
  <si>
    <t xml:space="preserve">               Social Security and Medicare (deleted)</t>
  </si>
  <si>
    <t xml:space="preserve">            Total 2300 Accrued Payroll Liabilities</t>
  </si>
  <si>
    <t xml:space="preserve">            2390 Direct Deposit Payable</t>
  </si>
  <si>
    <t xml:space="preserve">            2500 Deferred Revenue - Member Dues</t>
  </si>
  <si>
    <t xml:space="preserve">               3600 Dues - Tier 4 (deleted)</t>
  </si>
  <si>
    <t xml:space="preserve">               3601 Dues - Tier 3 (deleted)</t>
  </si>
  <si>
    <t xml:space="preserve">               3602 Dues - Tier 2 (deleted)</t>
  </si>
  <si>
    <t xml:space="preserve">               3603 Dues - Tier 1 (deleted)</t>
  </si>
  <si>
    <t xml:space="preserve">               3604 Dues - Business Partner (deleted)</t>
  </si>
  <si>
    <t xml:space="preserve">               3611 Dues - Tier 5 (deleted)</t>
  </si>
  <si>
    <t xml:space="preserve">               3612 Dues - Tier 6 (deleted)</t>
  </si>
  <si>
    <t xml:space="preserve">               3613 Dues - Tier 7 (deleted)</t>
  </si>
  <si>
    <t xml:space="preserve">            Total 2500 Deferred Revenue - Member Dues</t>
  </si>
  <si>
    <t xml:space="preserve">            2510 Deferred Revenue - Registration</t>
  </si>
  <si>
    <t xml:space="preserve">            2520 Deferred Revenue - Exhibits</t>
  </si>
  <si>
    <t xml:space="preserve">            2530 Deferred Revenue Annual Meeting</t>
  </si>
  <si>
    <t xml:space="preserve">            2800 Employee Parking Pass</t>
  </si>
  <si>
    <t xml:space="preserve">            2810 Sales Tax Agency Payable</t>
  </si>
  <si>
    <t xml:space="preserve">            2815 Treasurer, State of Minnesota Payable</t>
  </si>
  <si>
    <t xml:space="preserve">            3801 *Sales Tax Payable (deleted)</t>
  </si>
  <si>
    <t xml:space="preserve">         2900 COVID-19 SBA Loan</t>
  </si>
  <si>
    <t xml:space="preserve">      3000 Unrestricted Net Assets</t>
  </si>
  <si>
    <t xml:space="preserve">      3010 Opening Bal Equity</t>
  </si>
  <si>
    <t>Accrued Expenses</t>
  </si>
  <si>
    <t>Feb 2024</t>
  </si>
  <si>
    <t xml:space="preserve">      66000 Payroll Expenses-1 (deleted)</t>
  </si>
  <si>
    <t xml:space="preserve">      6895 Recruitment Expenses</t>
  </si>
  <si>
    <t xml:space="preserve">      4055 New Provider Member Dues</t>
  </si>
  <si>
    <t xml:space="preserve">         4162 RCTC Revenue</t>
  </si>
  <si>
    <t xml:space="preserve">      5020 Web Based Training (RCTC)</t>
  </si>
  <si>
    <t xml:space="preserve">      6120 Regulatory Consulting Fees</t>
  </si>
  <si>
    <t>Mar 2024</t>
  </si>
  <si>
    <t>Account</t>
  </si>
  <si>
    <t>Category</t>
  </si>
  <si>
    <t>Apr 2024</t>
  </si>
  <si>
    <t>May 31</t>
  </si>
  <si>
    <t>May</t>
  </si>
  <si>
    <t>January - May, 2024</t>
  </si>
  <si>
    <t>Leadership Summit</t>
  </si>
  <si>
    <t>January - May 2024</t>
  </si>
  <si>
    <t>As of May 31, 2024</t>
  </si>
  <si>
    <t>As of May 31, 2023 (PY)</t>
  </si>
  <si>
    <t>May 2024</t>
  </si>
  <si>
    <t>Jan - May, 2024</t>
  </si>
  <si>
    <t>Jan - May, 2023 (PY)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</si>
</sst>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 _€"/>
    <numFmt numFmtId="165" formatCode="&quot;$&quot;* #,##0.00\ _€"/>
    <numFmt numFmtId="166" formatCode="_(* #,##0.0_);_(* \(#,##0.0\);_(* &quot;-&quot;??_);_(@_)"/>
    <numFmt numFmtId="167" formatCode="_(* #,##0_);_(* \(#,##0\);_(* &quot;-&quot;??_);_(@_)"/>
  </numFmts>
  <fonts count="25" x14ac:knownFonts="1">
    <font>
      <sz val="11"/>
      <color indexed="8"/>
      <name val="Calibri"/>
      <family val="2"/>
      <scheme val="minor"/>
    </font>
    <font>
      <b/>
      <sz val="9"/>
      <color indexed="8"/>
      <name val="Arial"/>
      <family val="2"/>
    </font>
    <font>
      <sz val="11"/>
      <color indexed="8"/>
      <name val="Calibri"/>
      <family val="2"/>
      <scheme val="minor"/>
    </font>
    <font>
      <b/>
      <sz val="12"/>
      <name val="Arial"/>
      <family val="2"/>
    </font>
    <font>
      <b/>
      <sz val="10"/>
      <name val="Arial"/>
      <family val="2"/>
    </font>
    <font>
      <sz val="10"/>
      <name val="Arial"/>
      <family val="2"/>
    </font>
    <font>
      <b/>
      <sz val="10"/>
      <color theme="1"/>
      <name val="Calibri"/>
      <family val="2"/>
      <scheme val="minor"/>
    </font>
    <font>
      <b/>
      <sz val="11"/>
      <color indexed="8"/>
      <name val="Calibri"/>
      <family val="2"/>
      <scheme val="minor"/>
    </font>
    <font>
      <b/>
      <sz val="8"/>
      <color indexed="8"/>
      <name val="Arial"/>
      <family val="2"/>
    </font>
    <font>
      <sz val="8"/>
      <color indexed="8"/>
      <name val="Arial"/>
      <family val="2"/>
    </font>
    <font>
      <b/>
      <sz val="16"/>
      <name val="Arial"/>
      <family val="2"/>
    </font>
    <font>
      <b/>
      <sz val="14"/>
      <color indexed="8"/>
      <name val="Arial"/>
      <family val="2"/>
    </font>
    <font>
      <b/>
      <sz val="10"/>
      <color indexed="8"/>
      <name val="Arial"/>
      <family val="2"/>
    </font>
    <font>
      <sz val="8"/>
      <color indexed="8"/>
      <name val="Arial"/>
      <family val="2"/>
    </font>
    <font>
      <b/>
      <sz val="14"/>
      <color indexed="8"/>
      <name val="Arial"/>
      <family val="2"/>
    </font>
    <font>
      <b/>
      <sz val="9"/>
      <color indexed="8"/>
      <name val="Arial"/>
      <family val="2"/>
    </font>
    <font>
      <sz val="8"/>
      <color rgb="FF000000"/>
      <name val="Arial"/>
      <family val="2"/>
    </font>
    <font>
      <b/>
      <sz val="9"/>
      <color indexed="8"/>
      <name val="Arial"/>
      <family val="2"/>
    </font>
    <font>
      <b/>
      <sz val="8"/>
      <color indexed="8"/>
      <name val="Arial"/>
      <family val="2"/>
    </font>
    <font>
      <sz val="8"/>
      <color indexed="8"/>
      <name val="Arial"/>
      <family val="2"/>
    </font>
    <font>
      <b/>
      <sz val="14"/>
      <color indexed="8"/>
      <name val="Arial"/>
    </font>
    <font>
      <b/>
      <sz val="10"/>
      <color indexed="8"/>
      <name val="Arial"/>
    </font>
    <font>
      <b/>
      <sz val="9"/>
      <color indexed="8"/>
      <name val="Arial"/>
    </font>
    <font>
      <b/>
      <sz val="8"/>
      <color indexed="8"/>
      <name val="Arial"/>
    </font>
    <font>
      <sz val="8"/>
      <color indexed="8"/>
      <name val="Arial"/>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s>
  <borders count="21">
    <border>
      <left/>
      <right/>
      <top/>
      <bottom/>
      <diagonal/>
    </border>
    <border>
      <left/>
      <right/>
      <top/>
      <bottom style="thin">
        <color auto="1"/>
      </bottom>
      <diagonal/>
    </border>
    <border>
      <left/>
      <right/>
      <top style="thin">
        <color auto="1"/>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diagonal/>
    </border>
    <border>
      <left/>
      <right/>
      <top/>
      <bottom style="medium">
        <color indexed="64"/>
      </bottom>
      <diagonal/>
    </border>
    <border>
      <left/>
      <right/>
      <top style="thin">
        <color indexed="64"/>
      </top>
      <bottom style="thin">
        <color auto="1"/>
      </bottom>
      <diagonal/>
    </border>
    <border>
      <left/>
      <right/>
      <top style="thin">
        <color indexed="64"/>
      </top>
      <bottom style="double">
        <color indexed="64"/>
      </bottom>
      <diagonal/>
    </border>
  </borders>
  <cellStyleXfs count="3">
    <xf numFmtId="0" fontId="0" fillId="0" borderId="0"/>
    <xf numFmtId="43" fontId="2" fillId="0" borderId="0" applyFont="0" applyFill="0" applyBorder="0" applyAlignment="0" applyProtection="0"/>
    <xf numFmtId="0" fontId="2" fillId="0" borderId="0"/>
  </cellStyleXfs>
  <cellXfs count="127">
    <xf numFmtId="0" fontId="0" fillId="0" borderId="0" xfId="0"/>
    <xf numFmtId="0" fontId="0" fillId="0" borderId="0" xfId="0" applyAlignment="1">
      <alignment wrapText="1"/>
    </xf>
    <xf numFmtId="43" fontId="1" fillId="0" borderId="1" xfId="1" applyFont="1" applyBorder="1" applyAlignment="1">
      <alignment horizontal="center" wrapText="1"/>
    </xf>
    <xf numFmtId="43" fontId="0" fillId="0" borderId="0" xfId="1" applyFont="1"/>
    <xf numFmtId="0" fontId="5" fillId="0" borderId="3" xfId="0" applyFont="1" applyBorder="1"/>
    <xf numFmtId="38" fontId="6" fillId="0" borderId="1" xfId="1" applyNumberFormat="1" applyFont="1" applyBorder="1" applyAlignment="1">
      <alignment horizontal="center" wrapText="1"/>
    </xf>
    <xf numFmtId="38" fontId="6" fillId="0" borderId="4" xfId="1" applyNumberFormat="1" applyFont="1" applyBorder="1" applyAlignment="1">
      <alignment horizontal="center" wrapText="1"/>
    </xf>
    <xf numFmtId="0" fontId="4" fillId="0" borderId="3" xfId="0" applyFont="1" applyBorder="1"/>
    <xf numFmtId="0" fontId="4" fillId="0" borderId="6" xfId="0" applyFont="1" applyBorder="1"/>
    <xf numFmtId="167" fontId="0" fillId="0" borderId="0" xfId="1" applyNumberFormat="1" applyFont="1"/>
    <xf numFmtId="167" fontId="4" fillId="0" borderId="9" xfId="1" applyNumberFormat="1" applyFont="1" applyBorder="1"/>
    <xf numFmtId="0" fontId="5" fillId="0" borderId="3" xfId="0" applyFont="1" applyBorder="1" applyAlignment="1">
      <alignment horizontal="center"/>
    </xf>
    <xf numFmtId="167" fontId="5" fillId="0" borderId="0" xfId="1" applyNumberFormat="1" applyFont="1" applyFill="1" applyBorder="1"/>
    <xf numFmtId="167" fontId="5" fillId="0" borderId="5" xfId="1" applyNumberFormat="1" applyFont="1" applyFill="1" applyBorder="1"/>
    <xf numFmtId="167" fontId="0" fillId="0" borderId="5" xfId="0" applyNumberFormat="1" applyBorder="1"/>
    <xf numFmtId="166" fontId="0" fillId="3" borderId="5" xfId="1" applyNumberFormat="1" applyFont="1" applyFill="1" applyBorder="1"/>
    <xf numFmtId="0" fontId="8" fillId="0" borderId="0" xfId="0" applyFont="1" applyAlignment="1">
      <alignment horizontal="left" wrapText="1"/>
    </xf>
    <xf numFmtId="164" fontId="9" fillId="0" borderId="0" xfId="0" applyNumberFormat="1" applyFont="1" applyAlignment="1">
      <alignment wrapText="1"/>
    </xf>
    <xf numFmtId="164" fontId="9" fillId="0" borderId="0" xfId="0" applyNumberFormat="1" applyFont="1" applyAlignment="1">
      <alignment horizontal="right" wrapText="1"/>
    </xf>
    <xf numFmtId="165" fontId="8" fillId="0" borderId="2" xfId="0" applyNumberFormat="1" applyFont="1" applyBorder="1" applyAlignment="1">
      <alignment horizontal="right" wrapText="1"/>
    </xf>
    <xf numFmtId="16" fontId="0" fillId="0" borderId="0" xfId="0" quotePrefix="1" applyNumberFormat="1"/>
    <xf numFmtId="0" fontId="5" fillId="0" borderId="0" xfId="0" applyFont="1"/>
    <xf numFmtId="0" fontId="4" fillId="0" borderId="0" xfId="0" applyFont="1"/>
    <xf numFmtId="167" fontId="4" fillId="0" borderId="2" xfId="1" applyNumberFormat="1" applyFont="1" applyFill="1" applyBorder="1"/>
    <xf numFmtId="167" fontId="4" fillId="0" borderId="9" xfId="1" applyNumberFormat="1" applyFont="1" applyFill="1" applyBorder="1"/>
    <xf numFmtId="167" fontId="4" fillId="0" borderId="2" xfId="1" applyNumberFormat="1" applyFont="1" applyBorder="1"/>
    <xf numFmtId="0" fontId="4" fillId="0" borderId="10" xfId="0" applyFont="1" applyBorder="1"/>
    <xf numFmtId="0" fontId="0" fillId="0" borderId="11" xfId="0" applyBorder="1" applyAlignment="1">
      <alignment horizontal="right"/>
    </xf>
    <xf numFmtId="0" fontId="7" fillId="0" borderId="4" xfId="0" applyFont="1" applyBorder="1" applyAlignment="1">
      <alignment horizontal="center" wrapText="1"/>
    </xf>
    <xf numFmtId="167" fontId="0" fillId="0" borderId="9" xfId="0" applyNumberFormat="1" applyBorder="1"/>
    <xf numFmtId="167" fontId="4" fillId="0" borderId="7" xfId="1" applyNumberFormat="1" applyFont="1" applyBorder="1"/>
    <xf numFmtId="167" fontId="4" fillId="0" borderId="12" xfId="1" applyNumberFormat="1" applyFont="1" applyBorder="1"/>
    <xf numFmtId="167" fontId="4" fillId="0" borderId="13" xfId="1" applyNumberFormat="1" applyFont="1" applyBorder="1"/>
    <xf numFmtId="0" fontId="7" fillId="0" borderId="1" xfId="0" applyFont="1" applyBorder="1" applyAlignment="1">
      <alignment horizontal="center"/>
    </xf>
    <xf numFmtId="0" fontId="1" fillId="0" borderId="1" xfId="0" applyFont="1" applyBorder="1" applyAlignment="1">
      <alignment horizontal="center" wrapText="1"/>
    </xf>
    <xf numFmtId="44" fontId="0" fillId="0" borderId="0" xfId="0" applyNumberFormat="1"/>
    <xf numFmtId="167" fontId="4" fillId="0" borderId="0" xfId="1" applyNumberFormat="1" applyFont="1" applyBorder="1"/>
    <xf numFmtId="167" fontId="5" fillId="0" borderId="0" xfId="1" applyNumberFormat="1" applyFont="1" applyBorder="1"/>
    <xf numFmtId="167" fontId="6" fillId="0" borderId="1" xfId="1" applyNumberFormat="1" applyFont="1" applyBorder="1" applyAlignment="1">
      <alignment horizontal="center"/>
    </xf>
    <xf numFmtId="167" fontId="5" fillId="0" borderId="16" xfId="1" applyNumberFormat="1" applyFont="1" applyBorder="1"/>
    <xf numFmtId="167" fontId="4" fillId="0" borderId="17" xfId="1" applyNumberFormat="1" applyFont="1" applyBorder="1"/>
    <xf numFmtId="167" fontId="4" fillId="0" borderId="16" xfId="1" applyNumberFormat="1" applyFont="1" applyBorder="1"/>
    <xf numFmtId="167" fontId="4" fillId="0" borderId="14" xfId="1" applyNumberFormat="1" applyFont="1" applyBorder="1"/>
    <xf numFmtId="167" fontId="6" fillId="0" borderId="15" xfId="1" applyNumberFormat="1" applyFont="1" applyBorder="1" applyAlignment="1">
      <alignment horizontal="center"/>
    </xf>
    <xf numFmtId="38" fontId="6" fillId="4" borderId="1" xfId="1" applyNumberFormat="1" applyFont="1" applyFill="1" applyBorder="1" applyAlignment="1">
      <alignment horizontal="center" wrapText="1"/>
    </xf>
    <xf numFmtId="167" fontId="5" fillId="4" borderId="0" xfId="1" applyNumberFormat="1" applyFont="1" applyFill="1" applyBorder="1"/>
    <xf numFmtId="167" fontId="4" fillId="4" borderId="2" xfId="1" applyNumberFormat="1" applyFont="1" applyFill="1" applyBorder="1"/>
    <xf numFmtId="167" fontId="4" fillId="4" borderId="0" xfId="1" applyNumberFormat="1" applyFont="1" applyFill="1" applyBorder="1"/>
    <xf numFmtId="167" fontId="4" fillId="4" borderId="7" xfId="1" applyNumberFormat="1" applyFont="1" applyFill="1" applyBorder="1"/>
    <xf numFmtId="167" fontId="6" fillId="4" borderId="4" xfId="1" applyNumberFormat="1" applyFont="1" applyFill="1" applyBorder="1" applyAlignment="1">
      <alignment horizontal="center"/>
    </xf>
    <xf numFmtId="167" fontId="5" fillId="4" borderId="5" xfId="1" applyNumberFormat="1" applyFont="1" applyFill="1" applyBorder="1"/>
    <xf numFmtId="167" fontId="4" fillId="4" borderId="9" xfId="1" applyNumberFormat="1" applyFont="1" applyFill="1" applyBorder="1"/>
    <xf numFmtId="167" fontId="4" fillId="4" borderId="5" xfId="1" applyNumberFormat="1" applyFont="1" applyFill="1" applyBorder="1"/>
    <xf numFmtId="167" fontId="4" fillId="4" borderId="8" xfId="1" applyNumberFormat="1" applyFont="1" applyFill="1" applyBorder="1"/>
    <xf numFmtId="38" fontId="6" fillId="0" borderId="0" xfId="1" applyNumberFormat="1" applyFont="1" applyBorder="1" applyAlignment="1">
      <alignment horizontal="center" wrapText="1"/>
    </xf>
    <xf numFmtId="167" fontId="4" fillId="0" borderId="0" xfId="1" applyNumberFormat="1" applyFont="1" applyFill="1" applyBorder="1"/>
    <xf numFmtId="0" fontId="4" fillId="0" borderId="0" xfId="0" applyFont="1" applyAlignment="1">
      <alignment horizontal="center"/>
    </xf>
    <xf numFmtId="38" fontId="6" fillId="0" borderId="1" xfId="1" applyNumberFormat="1" applyFont="1" applyFill="1" applyBorder="1" applyAlignment="1">
      <alignment horizontal="center" wrapText="1"/>
    </xf>
    <xf numFmtId="167" fontId="4" fillId="0" borderId="7" xfId="1" applyNumberFormat="1" applyFont="1" applyFill="1" applyBorder="1"/>
    <xf numFmtId="0" fontId="2" fillId="0" borderId="0" xfId="2"/>
    <xf numFmtId="167" fontId="0" fillId="0" borderId="0" xfId="0" applyNumberFormat="1"/>
    <xf numFmtId="164" fontId="0" fillId="0" borderId="0" xfId="0" applyNumberFormat="1"/>
    <xf numFmtId="4" fontId="0" fillId="0" borderId="0" xfId="0" applyNumberFormat="1"/>
    <xf numFmtId="167" fontId="0" fillId="0" borderId="0" xfId="1" applyNumberFormat="1" applyFont="1" applyFill="1"/>
    <xf numFmtId="0" fontId="11" fillId="0" borderId="0" xfId="0" applyFont="1"/>
    <xf numFmtId="43" fontId="0" fillId="0" borderId="0" xfId="1" applyFont="1" applyFill="1" applyAlignment="1"/>
    <xf numFmtId="0" fontId="12" fillId="0" borderId="0" xfId="0" applyFont="1"/>
    <xf numFmtId="43" fontId="0" fillId="0" borderId="0" xfId="1" applyFont="1" applyFill="1"/>
    <xf numFmtId="43" fontId="1" fillId="0" borderId="1" xfId="1" applyFont="1" applyFill="1" applyBorder="1" applyAlignment="1">
      <alignment horizontal="center" wrapText="1"/>
    </xf>
    <xf numFmtId="43" fontId="1" fillId="0" borderId="0" xfId="1" applyFont="1" applyFill="1" applyBorder="1" applyAlignment="1">
      <alignment horizontal="center" wrapText="1"/>
    </xf>
    <xf numFmtId="14" fontId="1" fillId="0" borderId="1" xfId="1" applyNumberFormat="1" applyFont="1" applyFill="1" applyBorder="1" applyAlignment="1">
      <alignment horizontal="center" wrapText="1"/>
    </xf>
    <xf numFmtId="43" fontId="9" fillId="0" borderId="0" xfId="1" applyFont="1" applyFill="1" applyAlignment="1">
      <alignment wrapText="1"/>
    </xf>
    <xf numFmtId="43" fontId="9" fillId="0" borderId="0" xfId="1" applyFont="1" applyFill="1" applyAlignment="1">
      <alignment horizontal="right" wrapText="1"/>
    </xf>
    <xf numFmtId="43" fontId="16" fillId="0" borderId="0" xfId="1" applyFont="1" applyFill="1"/>
    <xf numFmtId="43" fontId="0" fillId="0" borderId="0" xfId="0" applyNumberFormat="1"/>
    <xf numFmtId="43" fontId="16" fillId="0" borderId="0" xfId="1" applyFont="1" applyFill="1" applyBorder="1"/>
    <xf numFmtId="43" fontId="8" fillId="0" borderId="2" xfId="1" applyFont="1" applyFill="1" applyBorder="1" applyAlignment="1">
      <alignment horizontal="right" wrapText="1"/>
    </xf>
    <xf numFmtId="43" fontId="8" fillId="0" borderId="19" xfId="1" applyFont="1" applyFill="1" applyBorder="1" applyAlignment="1">
      <alignment horizontal="right" wrapText="1"/>
    </xf>
    <xf numFmtId="43" fontId="9" fillId="0" borderId="0" xfId="1" applyFont="1" applyFill="1" applyBorder="1" applyAlignment="1">
      <alignment wrapText="1"/>
    </xf>
    <xf numFmtId="43" fontId="9" fillId="0" borderId="0" xfId="1" applyFont="1" applyFill="1" applyBorder="1" applyAlignment="1">
      <alignment horizontal="right" wrapText="1"/>
    </xf>
    <xf numFmtId="43" fontId="8" fillId="0" borderId="0" xfId="1" applyFont="1" applyFill="1" applyBorder="1" applyAlignment="1">
      <alignment horizontal="right" wrapText="1"/>
    </xf>
    <xf numFmtId="43" fontId="8" fillId="5" borderId="20" xfId="1" applyFont="1" applyFill="1" applyBorder="1" applyAlignment="1">
      <alignment horizontal="right" wrapText="1"/>
    </xf>
    <xf numFmtId="0" fontId="9" fillId="0" borderId="0" xfId="0" applyFont="1"/>
    <xf numFmtId="0" fontId="17" fillId="0" borderId="1" xfId="0" applyFont="1" applyBorder="1" applyAlignment="1">
      <alignment horizontal="center" wrapText="1"/>
    </xf>
    <xf numFmtId="164" fontId="19" fillId="0" borderId="0" xfId="0" applyNumberFormat="1" applyFont="1" applyAlignment="1">
      <alignment wrapText="1"/>
    </xf>
    <xf numFmtId="164" fontId="19" fillId="0" borderId="0" xfId="0" applyNumberFormat="1" applyFont="1" applyAlignment="1">
      <alignment horizontal="right" wrapText="1"/>
    </xf>
    <xf numFmtId="10" fontId="19" fillId="0" borderId="0" xfId="0" applyNumberFormat="1" applyFont="1" applyAlignment="1">
      <alignment horizontal="right" wrapText="1"/>
    </xf>
    <xf numFmtId="165" fontId="18" fillId="0" borderId="2" xfId="0" applyNumberFormat="1" applyFont="1" applyBorder="1" applyAlignment="1">
      <alignment horizontal="right" wrapText="1"/>
    </xf>
    <xf numFmtId="10" fontId="18" fillId="0" borderId="2" xfId="0" applyNumberFormat="1" applyFont="1" applyBorder="1" applyAlignment="1">
      <alignment horizontal="right" wrapText="1"/>
    </xf>
    <xf numFmtId="0" fontId="7" fillId="0" borderId="0" xfId="0" applyFont="1"/>
    <xf numFmtId="0" fontId="18" fillId="0" borderId="0" xfId="0" applyFont="1" applyAlignment="1">
      <alignment horizontal="left"/>
    </xf>
    <xf numFmtId="0" fontId="22" fillId="0" borderId="1" xfId="0" applyFont="1" applyBorder="1" applyAlignment="1">
      <alignment horizontal="center" wrapText="1"/>
    </xf>
    <xf numFmtId="0" fontId="23" fillId="0" borderId="0" xfId="0" applyFont="1" applyAlignment="1">
      <alignment horizontal="left" wrapText="1"/>
    </xf>
    <xf numFmtId="164" fontId="24" fillId="0" borderId="0" xfId="0" applyNumberFormat="1" applyFont="1" applyAlignment="1">
      <alignment wrapText="1"/>
    </xf>
    <xf numFmtId="164" fontId="24" fillId="0" borderId="0" xfId="0" applyNumberFormat="1" applyFont="1" applyAlignment="1">
      <alignment horizontal="right" wrapText="1"/>
    </xf>
    <xf numFmtId="10" fontId="24" fillId="0" borderId="0" xfId="0" applyNumberFormat="1" applyFont="1" applyAlignment="1">
      <alignment horizontal="right" wrapText="1"/>
    </xf>
    <xf numFmtId="165" fontId="23" fillId="0" borderId="2" xfId="0" applyNumberFormat="1" applyFont="1" applyBorder="1" applyAlignment="1">
      <alignment horizontal="right" wrapText="1"/>
    </xf>
    <xf numFmtId="10" fontId="23" fillId="0" borderId="2" xfId="0" applyNumberFormat="1" applyFont="1" applyBorder="1" applyAlignment="1">
      <alignment horizontal="right" wrapText="1"/>
    </xf>
    <xf numFmtId="0" fontId="0" fillId="0" borderId="3"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8" xfId="0" applyBorder="1" applyAlignment="1">
      <alignment horizontal="left"/>
    </xf>
    <xf numFmtId="0" fontId="10" fillId="0" borderId="0" xfId="0" applyFont="1" applyAlignment="1">
      <alignment horizontal="center"/>
    </xf>
    <xf numFmtId="0" fontId="3" fillId="0" borderId="0" xfId="0" applyFont="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167" fontId="0" fillId="0" borderId="3" xfId="1" applyNumberFormat="1" applyFont="1" applyBorder="1" applyAlignment="1">
      <alignment horizontal="center"/>
    </xf>
    <xf numFmtId="167" fontId="0" fillId="0" borderId="0" xfId="1" applyNumberFormat="1" applyFont="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5" fillId="0" borderId="1" xfId="0" applyFont="1" applyBorder="1" applyAlignment="1">
      <alignment horizontal="center" wrapText="1"/>
    </xf>
    <xf numFmtId="0" fontId="0" fillId="0" borderId="0" xfId="0" applyAlignment="1">
      <alignment wrapText="1"/>
    </xf>
    <xf numFmtId="0" fontId="14" fillId="0" borderId="0" xfId="0" applyFont="1" applyAlignment="1">
      <alignment horizontal="center"/>
    </xf>
    <xf numFmtId="0" fontId="0" fillId="0" borderId="0" xfId="0"/>
    <xf numFmtId="0" fontId="11" fillId="0" borderId="0" xfId="0" applyFont="1" applyAlignment="1">
      <alignment horizontal="center"/>
    </xf>
    <xf numFmtId="17" fontId="12" fillId="0" borderId="0" xfId="0" quotePrefix="1" applyNumberFormat="1" applyFont="1" applyAlignment="1">
      <alignment horizontal="center"/>
    </xf>
    <xf numFmtId="0" fontId="12"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22" fillId="0" borderId="1" xfId="0" applyFont="1" applyBorder="1" applyAlignment="1">
      <alignment horizontal="center" wrapText="1"/>
    </xf>
    <xf numFmtId="0" fontId="13" fillId="0" borderId="0" xfId="0" applyFont="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164" fontId="24" fillId="0" borderId="0" xfId="0" applyNumberFormat="1" applyFont="1" applyFill="1" applyAlignment="1">
      <alignment horizontal="right" wrapText="1"/>
    </xf>
  </cellXfs>
  <cellStyles count="3">
    <cellStyle name="Comma" xfId="1" builtinId="3"/>
    <cellStyle name="Normal" xfId="0" builtinId="0"/>
    <cellStyle name="Normal 2" xfId="2" xr:uid="{0E4E1B88-E45C-4D43-A5DD-3F6FB1EB3957}"/>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800" b="1"/>
              <a:t>Revenue</a:t>
            </a:r>
            <a:r>
              <a:rPr lang="en-US" sz="1600" b="1"/>
              <a:t> vs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Prior Year</c:v>
          </c:tx>
          <c:spPr>
            <a:solidFill>
              <a:schemeClr val="accent3"/>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Dashboard!$G$6:$G$10</c:f>
              <c:numCache>
                <c:formatCode>_(* #,##0_);_(* \(#,##0\);_(* "-"??_);_(@_)</c:formatCode>
                <c:ptCount val="5"/>
                <c:pt idx="0">
                  <c:v>192669.34</c:v>
                </c:pt>
                <c:pt idx="1">
                  <c:v>3800</c:v>
                </c:pt>
                <c:pt idx="2">
                  <c:v>24920</c:v>
                </c:pt>
                <c:pt idx="3">
                  <c:v>7075</c:v>
                </c:pt>
                <c:pt idx="4">
                  <c:v>4734.57</c:v>
                </c:pt>
              </c:numCache>
            </c:numRef>
          </c:val>
          <c:extLst>
            <c:ext xmlns:c16="http://schemas.microsoft.com/office/drawing/2014/chart" uri="{C3380CC4-5D6E-409C-BE32-E72D297353CC}">
              <c16:uniqueId val="{00000000-1926-455A-A1F6-9D67F6B33FF4}"/>
            </c:ext>
          </c:extLst>
        </c:ser>
        <c:ser>
          <c:idx val="0"/>
          <c:order val="1"/>
          <c:tx>
            <c:v>Actual</c:v>
          </c:tx>
          <c:spPr>
            <a:solidFill>
              <a:schemeClr val="accent1"/>
            </a:solidFill>
            <a:ln>
              <a:noFill/>
            </a:ln>
            <a:effectLst/>
          </c:spPr>
          <c:invertIfNegative val="0"/>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205406.37000000002</c:v>
                </c:pt>
                <c:pt idx="1">
                  <c:v>0</c:v>
                </c:pt>
                <c:pt idx="2">
                  <c:v>18446</c:v>
                </c:pt>
                <c:pt idx="3">
                  <c:v>20800</c:v>
                </c:pt>
                <c:pt idx="4">
                  <c:v>1090.67</c:v>
                </c:pt>
              </c:numCache>
            </c:numRef>
          </c:val>
          <c:extLst>
            <c:ext xmlns:c16="http://schemas.microsoft.com/office/drawing/2014/chart" uri="{C3380CC4-5D6E-409C-BE32-E72D297353CC}">
              <c16:uniqueId val="{00000001-1926-455A-A1F6-9D67F6B33FF4}"/>
            </c:ext>
          </c:extLst>
        </c:ser>
        <c:dLbls>
          <c:showLegendKey val="0"/>
          <c:showVal val="0"/>
          <c:showCatName val="0"/>
          <c:showSerName val="0"/>
          <c:showPercent val="0"/>
          <c:showBubbleSize val="0"/>
        </c:dLbls>
        <c:gapWidth val="150"/>
        <c:axId val="1065783263"/>
        <c:axId val="1065784703"/>
      </c:barChart>
      <c:lineChart>
        <c:grouping val="standard"/>
        <c:varyColors val="0"/>
        <c:ser>
          <c:idx val="1"/>
          <c:order val="2"/>
          <c:tx>
            <c:v>Budget</c:v>
          </c:tx>
          <c:spPr>
            <a:ln w="28575" cap="rnd">
              <a:solidFill>
                <a:schemeClr val="accent2"/>
              </a:solidFill>
              <a:round/>
            </a:ln>
            <a:effectLst/>
          </c:spPr>
          <c:marker>
            <c:symbol val="none"/>
          </c:marker>
          <c:cat>
            <c:strRef>
              <c:f>Dashboard!$A$6:$A$10</c:f>
              <c:strCache>
                <c:ptCount val="5"/>
                <c:pt idx="0">
                  <c:v>Membership Dues</c:v>
                </c:pt>
                <c:pt idx="1">
                  <c:v>Annual Meeting</c:v>
                </c:pt>
                <c:pt idx="2">
                  <c:v>Other Education</c:v>
                </c:pt>
                <c:pt idx="3">
                  <c:v>Sponsorships</c:v>
                </c:pt>
                <c:pt idx="4">
                  <c:v>Other Revenue</c:v>
                </c:pt>
              </c:strCache>
            </c:strRef>
          </c:cat>
          <c:val>
            <c:numRef>
              <c:f>Dashboard!$C$6:$C$10</c:f>
              <c:numCache>
                <c:formatCode>_(* #,##0_);_(* \(#,##0\);_(* "-"??_);_(@_)</c:formatCode>
                <c:ptCount val="5"/>
                <c:pt idx="0">
                  <c:v>203014.19999999998</c:v>
                </c:pt>
                <c:pt idx="1">
                  <c:v>0</c:v>
                </c:pt>
                <c:pt idx="2">
                  <c:v>16175.3</c:v>
                </c:pt>
                <c:pt idx="3">
                  <c:v>10937.5</c:v>
                </c:pt>
                <c:pt idx="4">
                  <c:v>1416.65</c:v>
                </c:pt>
              </c:numCache>
            </c:numRef>
          </c:val>
          <c:smooth val="0"/>
          <c:extLst>
            <c:ext xmlns:c16="http://schemas.microsoft.com/office/drawing/2014/chart" uri="{C3380CC4-5D6E-409C-BE32-E72D297353CC}">
              <c16:uniqueId val="{00000002-1926-455A-A1F6-9D67F6B33FF4}"/>
            </c:ext>
          </c:extLst>
        </c:ser>
        <c:dLbls>
          <c:showLegendKey val="0"/>
          <c:showVal val="0"/>
          <c:showCatName val="0"/>
          <c:showSerName val="0"/>
          <c:showPercent val="0"/>
          <c:showBubbleSize val="0"/>
        </c:dLbls>
        <c:marker val="1"/>
        <c:smooth val="0"/>
        <c:axId val="1065783263"/>
        <c:axId val="1065784703"/>
      </c:lineChart>
      <c:catAx>
        <c:axId val="1065783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4703"/>
        <c:crosses val="autoZero"/>
        <c:auto val="1"/>
        <c:lblAlgn val="ctr"/>
        <c:lblOffset val="100"/>
        <c:noMultiLvlLbl val="0"/>
      </c:catAx>
      <c:valAx>
        <c:axId val="10657847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83263"/>
        <c:crosses val="autoZero"/>
        <c:crossBetween val="between"/>
      </c:valAx>
      <c:spPr>
        <a:solidFill>
          <a:schemeClr val="tx2">
            <a:lumMod val="20000"/>
            <a:lumOff val="80000"/>
          </a:schemeClr>
        </a:solidFill>
        <a:ln>
          <a:noFill/>
        </a:ln>
        <a:effectLst>
          <a:outerShdw blurRad="50800" dist="38100" dir="5400000" algn="t"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r>
              <a:rPr lang="en-US" sz="1600" b="1" i="0" baseline="0">
                <a:latin typeface="Arial" panose="020B0604020202020204" pitchFamily="34" charset="0"/>
              </a:rPr>
              <a:t>Sources of Support</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15-4ECD-BF8B-EEA25FAEDC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15-4ECD-BF8B-EEA25FAEDC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15-4ECD-BF8B-EEA25FAEDC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15-4ECD-BF8B-EEA25FAEDC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15-4ECD-BF8B-EEA25FAEDC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15-4ECD-BF8B-EEA25FAEDC6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15-4ECD-BF8B-EEA25FAEDC6E}"/>
              </c:ext>
            </c:extLst>
          </c:dPt>
          <c:dLbls>
            <c:dLbl>
              <c:idx val="0"/>
              <c:layout>
                <c:manualLayout>
                  <c:x val="-0.17520628469828367"/>
                  <c:y val="-0.1520757170978627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15-4ECD-BF8B-EEA25FAEDC6E}"/>
                </c:ext>
              </c:extLst>
            </c:dLbl>
            <c:dLbl>
              <c:idx val="1"/>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15-4ECD-BF8B-EEA25FAEDC6E}"/>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15-4ECD-BF8B-EEA25FAEDC6E}"/>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15-4ECD-BF8B-EEA25FAEDC6E}"/>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C15-4ECD-BF8B-EEA25FAEDC6E}"/>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C15-4ECD-BF8B-EEA25FAEDC6E}"/>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C15-4ECD-BF8B-EEA25FAEDC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Dashboard!$A$6:$A$10</c:f>
              <c:strCache>
                <c:ptCount val="5"/>
                <c:pt idx="0">
                  <c:v>Membership Dues</c:v>
                </c:pt>
                <c:pt idx="1">
                  <c:v>Annual Meeting</c:v>
                </c:pt>
                <c:pt idx="2">
                  <c:v>Other Education</c:v>
                </c:pt>
                <c:pt idx="3">
                  <c:v>Sponsorships</c:v>
                </c:pt>
                <c:pt idx="4">
                  <c:v>Other Revenue</c:v>
                </c:pt>
              </c:strCache>
            </c:strRef>
          </c:cat>
          <c:val>
            <c:numRef>
              <c:f>Dashboard!$B$6:$B$10</c:f>
              <c:numCache>
                <c:formatCode>_(* #,##0_);_(* \(#,##0\);_(* "-"??_);_(@_)</c:formatCode>
                <c:ptCount val="5"/>
                <c:pt idx="0">
                  <c:v>205406.37000000002</c:v>
                </c:pt>
                <c:pt idx="1">
                  <c:v>0</c:v>
                </c:pt>
                <c:pt idx="2">
                  <c:v>18446</c:v>
                </c:pt>
                <c:pt idx="3">
                  <c:v>20800</c:v>
                </c:pt>
                <c:pt idx="4">
                  <c:v>1090.67</c:v>
                </c:pt>
              </c:numCache>
            </c:numRef>
          </c:val>
          <c:extLst>
            <c:ext xmlns:c16="http://schemas.microsoft.com/office/drawing/2014/chart" uri="{C3380CC4-5D6E-409C-BE32-E72D297353CC}">
              <c16:uniqueId val="{0000000E-2C15-4ECD-BF8B-EEA25FAEDC6E}"/>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11</xdr:col>
      <xdr:colOff>506730</xdr:colOff>
      <xdr:row>21</xdr:row>
      <xdr:rowOff>0</xdr:rowOff>
    </xdr:to>
    <xdr:graphicFrame macro="">
      <xdr:nvGraphicFramePr>
        <xdr:cNvPr id="6" name="Chart 5">
          <a:extLst>
            <a:ext uri="{FF2B5EF4-FFF2-40B4-BE49-F238E27FC236}">
              <a16:creationId xmlns:a16="http://schemas.microsoft.com/office/drawing/2014/main" id="{2B6D7ABF-6284-4967-9314-D4D391596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23</xdr:row>
      <xdr:rowOff>0</xdr:rowOff>
    </xdr:from>
    <xdr:to>
      <xdr:col>12</xdr:col>
      <xdr:colOff>0</xdr:colOff>
      <xdr:row>40</xdr:row>
      <xdr:rowOff>175260</xdr:rowOff>
    </xdr:to>
    <xdr:graphicFrame macro="">
      <xdr:nvGraphicFramePr>
        <xdr:cNvPr id="10" name="Chart 9">
          <a:extLst>
            <a:ext uri="{FF2B5EF4-FFF2-40B4-BE49-F238E27FC236}">
              <a16:creationId xmlns:a16="http://schemas.microsoft.com/office/drawing/2014/main" id="{74609051-E89A-4001-AA3B-BC99954A9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allinone.sharepoint.com/sites/MNHomeCareAssociation/Shared%20Documents/AIOA%20Docs/2024/Workpapers/2024%20Budget/2024%20Budget%20by%20Month.xlsx" TargetMode="External"/><Relationship Id="rId1" Type="http://schemas.openxmlformats.org/officeDocument/2006/relationships/externalLinkPath" Target="/sites/MNHomeCareAssociation/Shared%20Documents/AIOA%20Docs/2024/Workpapers/2024%20Budget/2024%20Budget%20by%20Mon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M.01.05"/>
      <sheetName val="Admin by Month"/>
      <sheetName val="Membership by Month"/>
      <sheetName val="Education by Month"/>
      <sheetName val="Total by Month"/>
    </sheetNames>
    <sheetDataSet>
      <sheetData sheetId="0"/>
      <sheetData sheetId="1">
        <row r="29">
          <cell r="J29">
            <v>145.83333333333334</v>
          </cell>
          <cell r="K29">
            <v>145.83333333333334</v>
          </cell>
          <cell r="L29">
            <v>145.83333333333334</v>
          </cell>
          <cell r="M29">
            <v>145.83333333333334</v>
          </cell>
          <cell r="N29">
            <v>145.83333333333334</v>
          </cell>
          <cell r="O29">
            <v>145.83333333333334</v>
          </cell>
          <cell r="P29">
            <v>145.83333333333334</v>
          </cell>
          <cell r="Q29">
            <v>145.83333333333334</v>
          </cell>
          <cell r="R29">
            <v>145.83333333333334</v>
          </cell>
          <cell r="S29">
            <v>145.83333333333334</v>
          </cell>
          <cell r="T29">
            <v>145.83333333333334</v>
          </cell>
          <cell r="U29">
            <v>145.83333333333334</v>
          </cell>
        </row>
        <row r="30">
          <cell r="J30">
            <v>125</v>
          </cell>
          <cell r="K30">
            <v>125</v>
          </cell>
          <cell r="L30">
            <v>125</v>
          </cell>
          <cell r="M30">
            <v>125</v>
          </cell>
          <cell r="N30">
            <v>125</v>
          </cell>
          <cell r="O30">
            <v>125</v>
          </cell>
          <cell r="P30">
            <v>125</v>
          </cell>
          <cell r="Q30">
            <v>125</v>
          </cell>
          <cell r="R30">
            <v>125</v>
          </cell>
          <cell r="S30">
            <v>125</v>
          </cell>
          <cell r="T30">
            <v>125</v>
          </cell>
          <cell r="U30">
            <v>125</v>
          </cell>
        </row>
        <row r="31">
          <cell r="J31">
            <v>12.5</v>
          </cell>
          <cell r="K31">
            <v>12.5</v>
          </cell>
          <cell r="L31">
            <v>12.5</v>
          </cell>
          <cell r="M31">
            <v>12.5</v>
          </cell>
          <cell r="N31">
            <v>12.5</v>
          </cell>
          <cell r="O31">
            <v>12.5</v>
          </cell>
          <cell r="P31">
            <v>12.5</v>
          </cell>
          <cell r="Q31">
            <v>12.5</v>
          </cell>
          <cell r="R31">
            <v>12.5</v>
          </cell>
          <cell r="S31">
            <v>12.5</v>
          </cell>
          <cell r="T31">
            <v>12.5</v>
          </cell>
          <cell r="U31">
            <v>12.5</v>
          </cell>
        </row>
        <row r="32">
          <cell r="U32">
            <v>3500</v>
          </cell>
        </row>
        <row r="33">
          <cell r="U33">
            <v>5500</v>
          </cell>
        </row>
        <row r="44">
          <cell r="U44">
            <v>-5000</v>
          </cell>
        </row>
        <row r="45">
          <cell r="J45">
            <v>818.66666666666663</v>
          </cell>
          <cell r="K45">
            <v>818.66666666666663</v>
          </cell>
          <cell r="L45">
            <v>818.66666666666663</v>
          </cell>
          <cell r="M45">
            <v>818.66666666666663</v>
          </cell>
          <cell r="N45">
            <v>818.66666666666663</v>
          </cell>
          <cell r="O45">
            <v>818.66666666666663</v>
          </cell>
          <cell r="P45">
            <v>818.66666666666663</v>
          </cell>
          <cell r="Q45">
            <v>818.66666666666663</v>
          </cell>
          <cell r="R45">
            <v>818.66666666666663</v>
          </cell>
          <cell r="S45">
            <v>818.66666666666663</v>
          </cell>
          <cell r="T45">
            <v>818.66666666666663</v>
          </cell>
          <cell r="U45">
            <v>818.66666666666663</v>
          </cell>
        </row>
        <row r="46">
          <cell r="J46">
            <v>217</v>
          </cell>
          <cell r="K46">
            <v>217</v>
          </cell>
          <cell r="L46">
            <v>217</v>
          </cell>
          <cell r="M46">
            <v>217</v>
          </cell>
          <cell r="N46">
            <v>217</v>
          </cell>
          <cell r="O46">
            <v>417</v>
          </cell>
          <cell r="P46">
            <v>217</v>
          </cell>
          <cell r="Q46">
            <v>217</v>
          </cell>
          <cell r="R46">
            <v>316</v>
          </cell>
          <cell r="S46">
            <v>217</v>
          </cell>
          <cell r="T46">
            <v>217</v>
          </cell>
          <cell r="U46">
            <v>517</v>
          </cell>
        </row>
        <row r="47">
          <cell r="J47">
            <v>125</v>
          </cell>
          <cell r="K47">
            <v>125</v>
          </cell>
          <cell r="L47">
            <v>125</v>
          </cell>
          <cell r="M47">
            <v>125</v>
          </cell>
          <cell r="N47">
            <v>125</v>
          </cell>
          <cell r="O47">
            <v>125</v>
          </cell>
          <cell r="P47">
            <v>2925</v>
          </cell>
          <cell r="Q47">
            <v>125</v>
          </cell>
          <cell r="R47">
            <v>3425</v>
          </cell>
          <cell r="S47">
            <v>5100</v>
          </cell>
          <cell r="T47">
            <v>125</v>
          </cell>
          <cell r="U47">
            <v>125</v>
          </cell>
        </row>
        <row r="48">
          <cell r="J48">
            <v>1400</v>
          </cell>
          <cell r="P48">
            <v>1525</v>
          </cell>
          <cell r="S48">
            <v>750</v>
          </cell>
        </row>
        <row r="49">
          <cell r="J49">
            <v>50</v>
          </cell>
          <cell r="K49">
            <v>50</v>
          </cell>
          <cell r="L49">
            <v>50</v>
          </cell>
          <cell r="M49">
            <v>50</v>
          </cell>
          <cell r="N49">
            <v>50</v>
          </cell>
          <cell r="O49">
            <v>50</v>
          </cell>
          <cell r="P49">
            <v>50</v>
          </cell>
          <cell r="Q49">
            <v>50</v>
          </cell>
          <cell r="R49">
            <v>50</v>
          </cell>
          <cell r="S49">
            <v>50</v>
          </cell>
          <cell r="T49">
            <v>50</v>
          </cell>
          <cell r="U49">
            <v>50</v>
          </cell>
        </row>
        <row r="51">
          <cell r="J51">
            <v>166.66666666666666</v>
          </cell>
          <cell r="K51">
            <v>166.66666666666666</v>
          </cell>
          <cell r="L51">
            <v>166.66666666666666</v>
          </cell>
          <cell r="M51">
            <v>166.66666666666666</v>
          </cell>
          <cell r="N51">
            <v>166.66666666666666</v>
          </cell>
          <cell r="O51">
            <v>166.66666666666666</v>
          </cell>
          <cell r="P51">
            <v>166.66666666666666</v>
          </cell>
          <cell r="Q51">
            <v>166.66666666666666</v>
          </cell>
          <cell r="R51">
            <v>166.66666666666666</v>
          </cell>
          <cell r="S51">
            <v>166.66666666666666</v>
          </cell>
          <cell r="T51">
            <v>166.66666666666666</v>
          </cell>
          <cell r="U51">
            <v>166.66666666666666</v>
          </cell>
        </row>
        <row r="52">
          <cell r="J52">
            <v>124.99</v>
          </cell>
          <cell r="K52">
            <v>124.99</v>
          </cell>
          <cell r="L52">
            <v>124.99</v>
          </cell>
          <cell r="M52">
            <v>124.99</v>
          </cell>
          <cell r="N52">
            <v>124.99</v>
          </cell>
          <cell r="O52">
            <v>124.99</v>
          </cell>
          <cell r="P52">
            <v>124.99</v>
          </cell>
          <cell r="Q52">
            <v>6224.99</v>
          </cell>
          <cell r="R52">
            <v>124.99</v>
          </cell>
          <cell r="S52">
            <v>2312.9899999999998</v>
          </cell>
          <cell r="T52">
            <v>124.99</v>
          </cell>
          <cell r="U52">
            <v>125.11</v>
          </cell>
        </row>
        <row r="53">
          <cell r="Q53">
            <v>2000</v>
          </cell>
        </row>
        <row r="54">
          <cell r="J54">
            <v>1344.8</v>
          </cell>
          <cell r="K54">
            <v>1344.8</v>
          </cell>
          <cell r="L54">
            <v>1344.8</v>
          </cell>
          <cell r="M54">
            <v>1344.8</v>
          </cell>
          <cell r="N54">
            <v>1344.8</v>
          </cell>
          <cell r="O54">
            <v>1344.8</v>
          </cell>
          <cell r="P54">
            <v>1378.42</v>
          </cell>
          <cell r="Q54">
            <v>1378.42</v>
          </cell>
          <cell r="R54">
            <v>1378.42</v>
          </cell>
          <cell r="S54">
            <v>1378.42</v>
          </cell>
          <cell r="T54">
            <v>1378.42</v>
          </cell>
          <cell r="U54">
            <v>1378.1000000000001</v>
          </cell>
        </row>
        <row r="55">
          <cell r="J55">
            <v>34.58</v>
          </cell>
          <cell r="K55">
            <v>634.58000000000004</v>
          </cell>
          <cell r="L55">
            <v>34.58</v>
          </cell>
          <cell r="M55">
            <v>34.58</v>
          </cell>
          <cell r="N55">
            <v>34.58</v>
          </cell>
          <cell r="O55">
            <v>34.58</v>
          </cell>
          <cell r="P55">
            <v>34.58</v>
          </cell>
          <cell r="Q55">
            <v>34.58</v>
          </cell>
          <cell r="R55">
            <v>34.58</v>
          </cell>
          <cell r="S55">
            <v>34.58</v>
          </cell>
          <cell r="T55">
            <v>34.58</v>
          </cell>
          <cell r="U55">
            <v>34.619999999999997</v>
          </cell>
        </row>
        <row r="56">
          <cell r="J56">
            <v>333.33</v>
          </cell>
          <cell r="K56">
            <v>371.65</v>
          </cell>
          <cell r="L56">
            <v>333.33</v>
          </cell>
          <cell r="M56">
            <v>371.65</v>
          </cell>
          <cell r="N56">
            <v>333.33</v>
          </cell>
          <cell r="O56">
            <v>371.65</v>
          </cell>
          <cell r="P56">
            <v>333.33</v>
          </cell>
          <cell r="Q56">
            <v>371.65</v>
          </cell>
          <cell r="R56">
            <v>408.33</v>
          </cell>
          <cell r="S56">
            <v>371.65</v>
          </cell>
          <cell r="T56">
            <v>333.33</v>
          </cell>
          <cell r="U56">
            <v>371.77</v>
          </cell>
        </row>
        <row r="57">
          <cell r="J57">
            <v>12</v>
          </cell>
          <cell r="K57">
            <v>12</v>
          </cell>
          <cell r="L57">
            <v>12</v>
          </cell>
          <cell r="M57">
            <v>12</v>
          </cell>
          <cell r="N57">
            <v>12</v>
          </cell>
          <cell r="O57">
            <v>12</v>
          </cell>
          <cell r="P57">
            <v>12</v>
          </cell>
          <cell r="Q57">
            <v>12</v>
          </cell>
          <cell r="R57">
            <v>12</v>
          </cell>
          <cell r="S57">
            <v>12</v>
          </cell>
          <cell r="T57">
            <v>12</v>
          </cell>
          <cell r="U57">
            <v>12</v>
          </cell>
        </row>
        <row r="61">
          <cell r="J61">
            <v>1066.6600000000001</v>
          </cell>
          <cell r="K61">
            <v>1066.6600000000001</v>
          </cell>
          <cell r="L61">
            <v>1066.6600000000001</v>
          </cell>
          <cell r="M61">
            <v>1066.6600000000001</v>
          </cell>
          <cell r="N61">
            <v>1066.6600000000001</v>
          </cell>
          <cell r="O61">
            <v>1066.6600000000001</v>
          </cell>
          <cell r="P61">
            <v>1066.6600000000001</v>
          </cell>
          <cell r="Q61">
            <v>1066.6600000000001</v>
          </cell>
          <cell r="R61">
            <v>1066.6600000000001</v>
          </cell>
          <cell r="S61">
            <v>1066.6600000000001</v>
          </cell>
          <cell r="T61">
            <v>1066.6600000000001</v>
          </cell>
          <cell r="U61">
            <v>1126.74</v>
          </cell>
        </row>
        <row r="64">
          <cell r="J64">
            <v>31500</v>
          </cell>
          <cell r="K64">
            <v>31500</v>
          </cell>
          <cell r="L64">
            <v>31500</v>
          </cell>
          <cell r="M64">
            <v>31500</v>
          </cell>
          <cell r="N64">
            <v>31500</v>
          </cell>
          <cell r="O64">
            <v>31500</v>
          </cell>
          <cell r="P64">
            <v>31500</v>
          </cell>
          <cell r="Q64">
            <v>31500</v>
          </cell>
          <cell r="R64">
            <v>31500</v>
          </cell>
          <cell r="S64">
            <v>31500</v>
          </cell>
          <cell r="T64">
            <v>31500</v>
          </cell>
          <cell r="U64">
            <v>31500</v>
          </cell>
        </row>
        <row r="65">
          <cell r="J65">
            <v>2548.1666666666665</v>
          </cell>
          <cell r="K65">
            <v>2548.1666666666665</v>
          </cell>
          <cell r="L65">
            <v>2548.1666666666665</v>
          </cell>
          <cell r="M65">
            <v>2548.1666666666665</v>
          </cell>
          <cell r="N65">
            <v>2548.1666666666665</v>
          </cell>
          <cell r="O65">
            <v>2548.1666666666665</v>
          </cell>
          <cell r="P65">
            <v>2548.1666666666665</v>
          </cell>
          <cell r="Q65">
            <v>2548.1666666666665</v>
          </cell>
          <cell r="R65">
            <v>2548.1666666666665</v>
          </cell>
          <cell r="S65">
            <v>2548.1666666666665</v>
          </cell>
          <cell r="T65">
            <v>2548.1666666666665</v>
          </cell>
          <cell r="U65">
            <v>2548.1666666666665</v>
          </cell>
        </row>
        <row r="66">
          <cell r="J66">
            <v>3821</v>
          </cell>
          <cell r="K66">
            <v>3821</v>
          </cell>
          <cell r="L66">
            <v>3985.88</v>
          </cell>
          <cell r="M66">
            <v>3985.88</v>
          </cell>
          <cell r="N66">
            <v>3985.88</v>
          </cell>
          <cell r="O66">
            <v>3985.88</v>
          </cell>
          <cell r="P66">
            <v>3985.88</v>
          </cell>
          <cell r="Q66">
            <v>3985.88</v>
          </cell>
          <cell r="R66">
            <v>3985.88</v>
          </cell>
          <cell r="S66">
            <v>3985.88</v>
          </cell>
          <cell r="T66">
            <v>3985.88</v>
          </cell>
          <cell r="U66">
            <v>3986.08</v>
          </cell>
        </row>
        <row r="68">
          <cell r="J68">
            <v>128.33333333333334</v>
          </cell>
          <cell r="K68">
            <v>128.33333333333334</v>
          </cell>
          <cell r="L68">
            <v>128.33333333333334</v>
          </cell>
          <cell r="M68">
            <v>128.33333333333334</v>
          </cell>
          <cell r="N68">
            <v>128.33333333333334</v>
          </cell>
          <cell r="O68">
            <v>128.33333333333334</v>
          </cell>
          <cell r="P68">
            <v>128.33333333333334</v>
          </cell>
          <cell r="Q68">
            <v>128.33333333333334</v>
          </cell>
          <cell r="R68">
            <v>128.33333333333334</v>
          </cell>
          <cell r="S68">
            <v>128.33333333333334</v>
          </cell>
          <cell r="T68">
            <v>128.33333333333334</v>
          </cell>
          <cell r="U68">
            <v>128.33333333333334</v>
          </cell>
        </row>
        <row r="71">
          <cell r="J71">
            <v>85</v>
          </cell>
          <cell r="K71">
            <v>85</v>
          </cell>
          <cell r="L71">
            <v>85</v>
          </cell>
          <cell r="M71">
            <v>85</v>
          </cell>
          <cell r="N71">
            <v>85</v>
          </cell>
          <cell r="O71">
            <v>85</v>
          </cell>
          <cell r="P71">
            <v>85</v>
          </cell>
          <cell r="Q71">
            <v>85</v>
          </cell>
          <cell r="R71">
            <v>85</v>
          </cell>
          <cell r="S71">
            <v>85</v>
          </cell>
          <cell r="T71">
            <v>85</v>
          </cell>
          <cell r="U71">
            <v>85</v>
          </cell>
        </row>
        <row r="72">
          <cell r="J72">
            <v>6660</v>
          </cell>
          <cell r="K72">
            <v>6660</v>
          </cell>
          <cell r="L72">
            <v>6660</v>
          </cell>
          <cell r="M72">
            <v>6660</v>
          </cell>
          <cell r="N72">
            <v>6660</v>
          </cell>
          <cell r="O72">
            <v>6660</v>
          </cell>
          <cell r="P72">
            <v>6660</v>
          </cell>
          <cell r="Q72">
            <v>6660</v>
          </cell>
          <cell r="R72">
            <v>6660</v>
          </cell>
          <cell r="S72">
            <v>6660</v>
          </cell>
          <cell r="T72">
            <v>6660</v>
          </cell>
          <cell r="U72">
            <v>6660</v>
          </cell>
        </row>
        <row r="73">
          <cell r="J73">
            <v>41.666666666666664</v>
          </cell>
          <cell r="K73">
            <v>41.666666666666664</v>
          </cell>
          <cell r="L73">
            <v>41.666666666666664</v>
          </cell>
          <cell r="M73">
            <v>41.666666666666664</v>
          </cell>
          <cell r="N73">
            <v>41.666666666666664</v>
          </cell>
          <cell r="O73">
            <v>41.666666666666664</v>
          </cell>
          <cell r="P73">
            <v>41.666666666666664</v>
          </cell>
          <cell r="Q73">
            <v>41.666666666666664</v>
          </cell>
          <cell r="R73">
            <v>41.666666666666664</v>
          </cell>
          <cell r="S73">
            <v>41.666666666666664</v>
          </cell>
          <cell r="T73">
            <v>41.666666666666664</v>
          </cell>
          <cell r="U73">
            <v>41.666666666666664</v>
          </cell>
        </row>
        <row r="74">
          <cell r="J74">
            <v>25</v>
          </cell>
          <cell r="K74">
            <v>25</v>
          </cell>
          <cell r="L74">
            <v>25</v>
          </cell>
          <cell r="M74">
            <v>25</v>
          </cell>
          <cell r="N74">
            <v>25</v>
          </cell>
          <cell r="O74">
            <v>25</v>
          </cell>
          <cell r="P74">
            <v>25</v>
          </cell>
          <cell r="Q74">
            <v>25</v>
          </cell>
          <cell r="R74">
            <v>25</v>
          </cell>
          <cell r="S74">
            <v>25</v>
          </cell>
          <cell r="T74">
            <v>25</v>
          </cell>
          <cell r="U74">
            <v>25</v>
          </cell>
        </row>
        <row r="75">
          <cell r="J75">
            <v>8843.33</v>
          </cell>
          <cell r="K75">
            <v>1643.33</v>
          </cell>
          <cell r="L75">
            <v>1643.33</v>
          </cell>
          <cell r="M75">
            <v>1643.33</v>
          </cell>
          <cell r="N75">
            <v>1643.33</v>
          </cell>
          <cell r="O75">
            <v>1643.33</v>
          </cell>
          <cell r="P75">
            <v>1643.33</v>
          </cell>
          <cell r="Q75">
            <v>1643.33</v>
          </cell>
          <cell r="R75">
            <v>1643.33</v>
          </cell>
          <cell r="S75">
            <v>1643.33</v>
          </cell>
          <cell r="T75">
            <v>1643.33</v>
          </cell>
          <cell r="U75">
            <v>1643.37</v>
          </cell>
        </row>
        <row r="78">
          <cell r="J78">
            <v>40</v>
          </cell>
          <cell r="K78">
            <v>40</v>
          </cell>
          <cell r="L78">
            <v>40</v>
          </cell>
          <cell r="M78">
            <v>40</v>
          </cell>
          <cell r="N78">
            <v>40</v>
          </cell>
          <cell r="O78">
            <v>40</v>
          </cell>
          <cell r="P78">
            <v>40</v>
          </cell>
          <cell r="Q78">
            <v>40</v>
          </cell>
          <cell r="R78">
            <v>40</v>
          </cell>
          <cell r="S78">
            <v>40</v>
          </cell>
          <cell r="T78">
            <v>40</v>
          </cell>
          <cell r="U78">
            <v>40</v>
          </cell>
        </row>
        <row r="79">
          <cell r="J79">
            <v>225</v>
          </cell>
          <cell r="K79">
            <v>225</v>
          </cell>
          <cell r="L79">
            <v>225</v>
          </cell>
          <cell r="M79">
            <v>225</v>
          </cell>
          <cell r="N79">
            <v>225</v>
          </cell>
          <cell r="O79">
            <v>225</v>
          </cell>
          <cell r="P79">
            <v>225</v>
          </cell>
          <cell r="Q79">
            <v>225</v>
          </cell>
          <cell r="R79">
            <v>225</v>
          </cell>
          <cell r="S79">
            <v>225</v>
          </cell>
          <cell r="T79">
            <v>225</v>
          </cell>
          <cell r="U79">
            <v>225</v>
          </cell>
        </row>
        <row r="80">
          <cell r="J80">
            <v>25</v>
          </cell>
          <cell r="K80">
            <v>25</v>
          </cell>
          <cell r="L80">
            <v>25</v>
          </cell>
          <cell r="M80">
            <v>25</v>
          </cell>
          <cell r="N80">
            <v>25</v>
          </cell>
          <cell r="O80">
            <v>25</v>
          </cell>
          <cell r="P80">
            <v>25</v>
          </cell>
          <cell r="Q80">
            <v>25</v>
          </cell>
          <cell r="R80">
            <v>25</v>
          </cell>
          <cell r="S80">
            <v>25</v>
          </cell>
          <cell r="T80">
            <v>25</v>
          </cell>
          <cell r="U80">
            <v>25</v>
          </cell>
        </row>
        <row r="88">
          <cell r="J88">
            <v>1875</v>
          </cell>
          <cell r="K88">
            <v>1875</v>
          </cell>
          <cell r="L88">
            <v>1875</v>
          </cell>
          <cell r="M88">
            <v>1875</v>
          </cell>
          <cell r="N88">
            <v>1875</v>
          </cell>
          <cell r="O88">
            <v>1875</v>
          </cell>
          <cell r="P88">
            <v>1875</v>
          </cell>
          <cell r="Q88">
            <v>1875</v>
          </cell>
          <cell r="R88">
            <v>1875</v>
          </cell>
          <cell r="S88">
            <v>1875</v>
          </cell>
          <cell r="T88">
            <v>1875</v>
          </cell>
          <cell r="U88">
            <v>1875</v>
          </cell>
        </row>
        <row r="93">
          <cell r="S93">
            <v>1000</v>
          </cell>
        </row>
      </sheetData>
      <sheetData sheetId="2">
        <row r="8">
          <cell r="J8">
            <v>2131.25</v>
          </cell>
          <cell r="K8">
            <v>2131.25</v>
          </cell>
          <cell r="L8">
            <v>2131.25</v>
          </cell>
          <cell r="M8">
            <v>2131.25</v>
          </cell>
          <cell r="N8">
            <v>2131.25</v>
          </cell>
          <cell r="O8">
            <v>2131.25</v>
          </cell>
          <cell r="P8">
            <v>2131.25</v>
          </cell>
          <cell r="Q8">
            <v>2131.25</v>
          </cell>
          <cell r="R8">
            <v>2131.25</v>
          </cell>
          <cell r="S8">
            <v>2131.25</v>
          </cell>
          <cell r="T8">
            <v>2131.25</v>
          </cell>
          <cell r="U8">
            <v>2131.25</v>
          </cell>
        </row>
        <row r="9">
          <cell r="J9">
            <v>1531.25</v>
          </cell>
          <cell r="K9">
            <v>1531.25</v>
          </cell>
          <cell r="L9">
            <v>1531.25</v>
          </cell>
          <cell r="M9">
            <v>1531.25</v>
          </cell>
          <cell r="N9">
            <v>1531.25</v>
          </cell>
          <cell r="O9">
            <v>1531.25</v>
          </cell>
          <cell r="P9">
            <v>1531.25</v>
          </cell>
          <cell r="Q9">
            <v>1531.25</v>
          </cell>
          <cell r="R9">
            <v>1531.25</v>
          </cell>
          <cell r="S9">
            <v>1531.25</v>
          </cell>
          <cell r="T9">
            <v>1531.25</v>
          </cell>
          <cell r="U9">
            <v>1531.25</v>
          </cell>
        </row>
        <row r="10">
          <cell r="J10">
            <v>1314.1666666666667</v>
          </cell>
          <cell r="K10">
            <v>1314.1666666666667</v>
          </cell>
          <cell r="L10">
            <v>1314.1666666666667</v>
          </cell>
          <cell r="M10">
            <v>1314.1666666666667</v>
          </cell>
          <cell r="N10">
            <v>1314.1666666666667</v>
          </cell>
          <cell r="O10">
            <v>1314.1666666666667</v>
          </cell>
          <cell r="P10">
            <v>1314.1666666666667</v>
          </cell>
          <cell r="Q10">
            <v>1314.1666666666667</v>
          </cell>
          <cell r="R10">
            <v>1314.1666666666667</v>
          </cell>
          <cell r="S10">
            <v>1314.1666666666667</v>
          </cell>
          <cell r="T10">
            <v>1314.1666666666667</v>
          </cell>
          <cell r="U10">
            <v>1314.1666666666667</v>
          </cell>
        </row>
        <row r="11">
          <cell r="J11">
            <v>7291.666666666667</v>
          </cell>
          <cell r="K11">
            <v>7291.666666666667</v>
          </cell>
          <cell r="L11">
            <v>7291.666666666667</v>
          </cell>
          <cell r="M11">
            <v>7291.666666666667</v>
          </cell>
          <cell r="N11">
            <v>7291.666666666667</v>
          </cell>
          <cell r="O11">
            <v>7291.666666666667</v>
          </cell>
          <cell r="P11">
            <v>7291.666666666667</v>
          </cell>
          <cell r="Q11">
            <v>7291.666666666667</v>
          </cell>
          <cell r="R11">
            <v>7291.666666666667</v>
          </cell>
          <cell r="S11">
            <v>7291.666666666667</v>
          </cell>
          <cell r="T11">
            <v>7291.666666666667</v>
          </cell>
          <cell r="U11">
            <v>7291.666666666667</v>
          </cell>
        </row>
        <row r="12">
          <cell r="J12">
            <v>8926.6666666666661</v>
          </cell>
          <cell r="K12">
            <v>8926.6666666666661</v>
          </cell>
          <cell r="L12">
            <v>8926.6666666666661</v>
          </cell>
          <cell r="M12">
            <v>8926.6666666666661</v>
          </cell>
          <cell r="N12">
            <v>8926.6666666666661</v>
          </cell>
          <cell r="O12">
            <v>8926.6666666666661</v>
          </cell>
          <cell r="P12">
            <v>8926.6666666666661</v>
          </cell>
          <cell r="Q12">
            <v>8926.6666666666661</v>
          </cell>
          <cell r="R12">
            <v>8926.6666666666661</v>
          </cell>
          <cell r="S12">
            <v>8926.6666666666661</v>
          </cell>
          <cell r="T12">
            <v>8926.6666666666661</v>
          </cell>
          <cell r="U12">
            <v>8926.6666666666661</v>
          </cell>
        </row>
        <row r="13">
          <cell r="J13">
            <v>7583.333333333333</v>
          </cell>
          <cell r="K13">
            <v>7583.333333333333</v>
          </cell>
          <cell r="L13">
            <v>7583.333333333333</v>
          </cell>
          <cell r="M13">
            <v>7583.333333333333</v>
          </cell>
          <cell r="N13">
            <v>7583.333333333333</v>
          </cell>
          <cell r="O13">
            <v>7583.333333333333</v>
          </cell>
          <cell r="P13">
            <v>7583.333333333333</v>
          </cell>
          <cell r="Q13">
            <v>7583.333333333333</v>
          </cell>
          <cell r="R13">
            <v>7583.333333333333</v>
          </cell>
          <cell r="S13">
            <v>7583.333333333333</v>
          </cell>
          <cell r="T13">
            <v>7583.333333333333</v>
          </cell>
          <cell r="U13">
            <v>7583.333333333333</v>
          </cell>
        </row>
        <row r="14">
          <cell r="J14">
            <v>3175</v>
          </cell>
          <cell r="K14">
            <v>3175</v>
          </cell>
          <cell r="L14">
            <v>3175</v>
          </cell>
          <cell r="M14">
            <v>3175</v>
          </cell>
          <cell r="N14">
            <v>3175</v>
          </cell>
          <cell r="O14">
            <v>3175</v>
          </cell>
          <cell r="P14">
            <v>3175</v>
          </cell>
          <cell r="Q14">
            <v>3175</v>
          </cell>
          <cell r="R14">
            <v>3175</v>
          </cell>
          <cell r="S14">
            <v>3175</v>
          </cell>
          <cell r="T14">
            <v>3175</v>
          </cell>
          <cell r="U14">
            <v>3175</v>
          </cell>
        </row>
        <row r="15">
          <cell r="J15">
            <v>6339.5</v>
          </cell>
          <cell r="K15">
            <v>6339.5</v>
          </cell>
          <cell r="L15">
            <v>6339.5</v>
          </cell>
          <cell r="M15">
            <v>6339.5</v>
          </cell>
          <cell r="N15">
            <v>6339.5</v>
          </cell>
          <cell r="O15">
            <v>6339.5</v>
          </cell>
          <cell r="P15">
            <v>6339.5</v>
          </cell>
          <cell r="Q15">
            <v>6339.5</v>
          </cell>
          <cell r="R15">
            <v>6339.5</v>
          </cell>
          <cell r="S15">
            <v>6339.5</v>
          </cell>
          <cell r="T15">
            <v>6339.5</v>
          </cell>
          <cell r="U15">
            <v>6339.5</v>
          </cell>
        </row>
        <row r="16">
          <cell r="J16">
            <v>2310</v>
          </cell>
          <cell r="K16">
            <v>2310</v>
          </cell>
          <cell r="L16">
            <v>2310</v>
          </cell>
          <cell r="M16">
            <v>2310</v>
          </cell>
          <cell r="N16">
            <v>2310</v>
          </cell>
          <cell r="O16">
            <v>2310</v>
          </cell>
          <cell r="P16">
            <v>2310</v>
          </cell>
          <cell r="Q16">
            <v>2310</v>
          </cell>
          <cell r="R16">
            <v>2310</v>
          </cell>
          <cell r="S16">
            <v>2310</v>
          </cell>
          <cell r="T16">
            <v>2310</v>
          </cell>
          <cell r="U16">
            <v>2310</v>
          </cell>
        </row>
        <row r="35">
          <cell r="J35">
            <v>2187.5</v>
          </cell>
          <cell r="K35">
            <v>2187.5</v>
          </cell>
          <cell r="L35">
            <v>2187.5</v>
          </cell>
          <cell r="M35">
            <v>2187.5</v>
          </cell>
          <cell r="N35">
            <v>2187.5</v>
          </cell>
          <cell r="O35">
            <v>2187.5</v>
          </cell>
          <cell r="P35">
            <v>2187.5</v>
          </cell>
          <cell r="Q35">
            <v>2187.5</v>
          </cell>
          <cell r="R35">
            <v>2187.5</v>
          </cell>
          <cell r="S35">
            <v>2187.5</v>
          </cell>
          <cell r="T35">
            <v>2187.5</v>
          </cell>
          <cell r="U35">
            <v>2187.5</v>
          </cell>
        </row>
        <row r="53">
          <cell r="K53">
            <v>100</v>
          </cell>
        </row>
        <row r="57">
          <cell r="S57">
            <v>2000</v>
          </cell>
        </row>
        <row r="58">
          <cell r="J58">
            <v>250</v>
          </cell>
        </row>
        <row r="59">
          <cell r="J59">
            <v>275</v>
          </cell>
        </row>
      </sheetData>
      <sheetData sheetId="3">
        <row r="20">
          <cell r="S20">
            <v>65163</v>
          </cell>
        </row>
        <row r="21">
          <cell r="S21">
            <v>26560</v>
          </cell>
        </row>
        <row r="24">
          <cell r="J24">
            <v>331.45833340000001</v>
          </cell>
          <cell r="K24">
            <v>7911.4583333999999</v>
          </cell>
          <cell r="L24">
            <v>331.45833340000001</v>
          </cell>
          <cell r="M24">
            <v>331.45833340000001</v>
          </cell>
          <cell r="N24">
            <v>7269.4583333999999</v>
          </cell>
          <cell r="O24">
            <v>5056.4583333999999</v>
          </cell>
          <cell r="P24">
            <v>5796.4583333999999</v>
          </cell>
          <cell r="Q24">
            <v>33456.458333399998</v>
          </cell>
          <cell r="R24">
            <v>2131.4583333999999</v>
          </cell>
          <cell r="S24">
            <v>331.45833340000001</v>
          </cell>
          <cell r="T24">
            <v>2561.4583333999999</v>
          </cell>
          <cell r="U24">
            <v>331.45833340000001</v>
          </cell>
        </row>
        <row r="25">
          <cell r="P25">
            <v>1000</v>
          </cell>
        </row>
        <row r="40">
          <cell r="S40">
            <v>41594</v>
          </cell>
        </row>
        <row r="41">
          <cell r="J41">
            <v>1369</v>
          </cell>
          <cell r="K41">
            <v>3369</v>
          </cell>
          <cell r="L41">
            <v>119</v>
          </cell>
          <cell r="M41">
            <v>119</v>
          </cell>
          <cell r="N41">
            <v>1119</v>
          </cell>
          <cell r="O41">
            <v>619</v>
          </cell>
          <cell r="P41">
            <v>1119</v>
          </cell>
          <cell r="Q41">
            <v>23720</v>
          </cell>
          <cell r="R41">
            <v>1119</v>
          </cell>
          <cell r="S41">
            <v>119</v>
          </cell>
          <cell r="T41">
            <v>219</v>
          </cell>
          <cell r="U41">
            <v>119</v>
          </cell>
        </row>
        <row r="61">
          <cell r="J61">
            <v>1350</v>
          </cell>
          <cell r="K61">
            <v>1350</v>
          </cell>
          <cell r="L61">
            <v>1350</v>
          </cell>
          <cell r="M61">
            <v>1350</v>
          </cell>
          <cell r="N61">
            <v>1350</v>
          </cell>
          <cell r="O61">
            <v>1350</v>
          </cell>
          <cell r="P61">
            <v>1350</v>
          </cell>
          <cell r="Q61">
            <v>1350</v>
          </cell>
          <cell r="R61">
            <v>1350</v>
          </cell>
          <cell r="S61">
            <v>1350</v>
          </cell>
          <cell r="T61">
            <v>1350</v>
          </cell>
          <cell r="U61">
            <v>1350</v>
          </cell>
        </row>
      </sheetData>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D2E24-2208-4182-AA81-9C18195540B8}">
  <dimension ref="A1:B137"/>
  <sheetViews>
    <sheetView workbookViewId="0">
      <selection activeCell="B8" sqref="B8"/>
    </sheetView>
  </sheetViews>
  <sheetFormatPr defaultRowHeight="14.5" x14ac:dyDescent="0.35"/>
  <cols>
    <col min="1" max="1" width="36.81640625" customWidth="1"/>
    <col min="2" max="2" width="24.54296875" bestFit="1" customWidth="1"/>
  </cols>
  <sheetData>
    <row r="1" spans="1:2" x14ac:dyDescent="0.35">
      <c r="A1" t="s">
        <v>51</v>
      </c>
    </row>
    <row r="2" spans="1:2" x14ac:dyDescent="0.35">
      <c r="A2" t="s">
        <v>52</v>
      </c>
      <c r="B2">
        <v>2024</v>
      </c>
    </row>
    <row r="3" spans="1:2" x14ac:dyDescent="0.35">
      <c r="A3" t="s">
        <v>53</v>
      </c>
      <c r="B3">
        <v>2023</v>
      </c>
    </row>
    <row r="5" spans="1:2" x14ac:dyDescent="0.35">
      <c r="A5" t="s">
        <v>54</v>
      </c>
      <c r="B5" s="20" t="s">
        <v>458</v>
      </c>
    </row>
    <row r="7" spans="1:2" x14ac:dyDescent="0.35">
      <c r="A7" t="s">
        <v>163</v>
      </c>
      <c r="B7" t="s">
        <v>459</v>
      </c>
    </row>
    <row r="11" spans="1:2" x14ac:dyDescent="0.35">
      <c r="A11" s="89" t="s">
        <v>455</v>
      </c>
      <c r="B11" s="89" t="s">
        <v>456</v>
      </c>
    </row>
    <row r="12" spans="1:2" x14ac:dyDescent="0.35">
      <c r="A12" s="90" t="s">
        <v>315</v>
      </c>
      <c r="B12" s="21" t="s">
        <v>185</v>
      </c>
    </row>
    <row r="13" spans="1:2" x14ac:dyDescent="0.35">
      <c r="A13" s="90" t="s">
        <v>316</v>
      </c>
      <c r="B13" s="21" t="s">
        <v>185</v>
      </c>
    </row>
    <row r="14" spans="1:2" x14ac:dyDescent="0.35">
      <c r="A14" s="90" t="s">
        <v>317</v>
      </c>
      <c r="B14" s="21" t="s">
        <v>185</v>
      </c>
    </row>
    <row r="15" spans="1:2" x14ac:dyDescent="0.35">
      <c r="A15" s="90" t="s">
        <v>318</v>
      </c>
      <c r="B15" s="21" t="s">
        <v>185</v>
      </c>
    </row>
    <row r="16" spans="1:2" x14ac:dyDescent="0.35">
      <c r="A16" s="90" t="s">
        <v>319</v>
      </c>
      <c r="B16" s="21" t="s">
        <v>185</v>
      </c>
    </row>
    <row r="17" spans="1:2" x14ac:dyDescent="0.35">
      <c r="A17" s="90" t="s">
        <v>320</v>
      </c>
      <c r="B17" s="21" t="s">
        <v>185</v>
      </c>
    </row>
    <row r="18" spans="1:2" x14ac:dyDescent="0.35">
      <c r="A18" s="90" t="s">
        <v>321</v>
      </c>
      <c r="B18" s="21" t="s">
        <v>185</v>
      </c>
    </row>
    <row r="19" spans="1:2" x14ac:dyDescent="0.35">
      <c r="A19" s="90" t="s">
        <v>322</v>
      </c>
      <c r="B19" s="21" t="s">
        <v>185</v>
      </c>
    </row>
    <row r="20" spans="1:2" x14ac:dyDescent="0.35">
      <c r="A20" s="90" t="s">
        <v>323</v>
      </c>
      <c r="B20" s="21" t="s">
        <v>185</v>
      </c>
    </row>
    <row r="21" spans="1:2" x14ac:dyDescent="0.35">
      <c r="A21" s="90" t="s">
        <v>450</v>
      </c>
      <c r="B21" s="21" t="s">
        <v>185</v>
      </c>
    </row>
    <row r="22" spans="1:2" x14ac:dyDescent="0.35">
      <c r="A22" s="90" t="s">
        <v>325</v>
      </c>
      <c r="B22" s="21" t="s">
        <v>186</v>
      </c>
    </row>
    <row r="23" spans="1:2" x14ac:dyDescent="0.35">
      <c r="A23" s="90" t="s">
        <v>326</v>
      </c>
      <c r="B23" s="21" t="s">
        <v>186</v>
      </c>
    </row>
    <row r="24" spans="1:2" x14ac:dyDescent="0.35">
      <c r="A24" s="90" t="s">
        <v>327</v>
      </c>
      <c r="B24" s="21" t="s">
        <v>186</v>
      </c>
    </row>
    <row r="25" spans="1:2" x14ac:dyDescent="0.35">
      <c r="A25" s="90" t="s">
        <v>328</v>
      </c>
      <c r="B25" s="21" t="s">
        <v>186</v>
      </c>
    </row>
    <row r="26" spans="1:2" x14ac:dyDescent="0.35">
      <c r="A26" s="90" t="s">
        <v>330</v>
      </c>
      <c r="B26" t="s">
        <v>219</v>
      </c>
    </row>
    <row r="27" spans="1:2" x14ac:dyDescent="0.35">
      <c r="A27" s="90" t="s">
        <v>331</v>
      </c>
      <c r="B27" t="s">
        <v>219</v>
      </c>
    </row>
    <row r="28" spans="1:2" x14ac:dyDescent="0.35">
      <c r="A28" s="90" t="s">
        <v>451</v>
      </c>
      <c r="B28" t="s">
        <v>219</v>
      </c>
    </row>
    <row r="29" spans="1:2" x14ac:dyDescent="0.35">
      <c r="A29" s="90" t="s">
        <v>334</v>
      </c>
      <c r="B29" t="s">
        <v>220</v>
      </c>
    </row>
    <row r="30" spans="1:2" x14ac:dyDescent="0.35">
      <c r="A30" s="90" t="s">
        <v>335</v>
      </c>
      <c r="B30" s="21" t="s">
        <v>178</v>
      </c>
    </row>
    <row r="31" spans="1:2" x14ac:dyDescent="0.35">
      <c r="A31" s="90" t="s">
        <v>336</v>
      </c>
      <c r="B31" s="21" t="s">
        <v>178</v>
      </c>
    </row>
    <row r="32" spans="1:2" x14ac:dyDescent="0.35">
      <c r="A32" s="90" t="s">
        <v>337</v>
      </c>
      <c r="B32" s="21" t="s">
        <v>178</v>
      </c>
    </row>
    <row r="33" spans="1:2" x14ac:dyDescent="0.35">
      <c r="A33" s="90" t="s">
        <v>338</v>
      </c>
      <c r="B33" s="21" t="s">
        <v>178</v>
      </c>
    </row>
    <row r="34" spans="1:2" x14ac:dyDescent="0.35">
      <c r="A34" s="90" t="s">
        <v>339</v>
      </c>
      <c r="B34" s="21" t="s">
        <v>178</v>
      </c>
    </row>
    <row r="35" spans="1:2" x14ac:dyDescent="0.35">
      <c r="A35" s="90" t="s">
        <v>340</v>
      </c>
      <c r="B35" s="21" t="s">
        <v>178</v>
      </c>
    </row>
    <row r="36" spans="1:2" x14ac:dyDescent="0.35">
      <c r="A36" s="90" t="s">
        <v>342</v>
      </c>
      <c r="B36" s="21" t="s">
        <v>187</v>
      </c>
    </row>
    <row r="37" spans="1:2" x14ac:dyDescent="0.35">
      <c r="A37" s="90" t="s">
        <v>343</v>
      </c>
      <c r="B37" s="21" t="s">
        <v>187</v>
      </c>
    </row>
    <row r="38" spans="1:2" x14ac:dyDescent="0.35">
      <c r="A38" s="90" t="s">
        <v>452</v>
      </c>
      <c r="B38" s="21" t="s">
        <v>187</v>
      </c>
    </row>
    <row r="39" spans="1:2" x14ac:dyDescent="0.35">
      <c r="A39" s="90" t="s">
        <v>344</v>
      </c>
      <c r="B39" s="21" t="s">
        <v>187</v>
      </c>
    </row>
    <row r="40" spans="1:2" x14ac:dyDescent="0.35">
      <c r="A40" s="90" t="s">
        <v>346</v>
      </c>
      <c r="B40" t="s">
        <v>218</v>
      </c>
    </row>
    <row r="41" spans="1:2" x14ac:dyDescent="0.35">
      <c r="A41" s="90" t="s">
        <v>347</v>
      </c>
      <c r="B41" t="s">
        <v>218</v>
      </c>
    </row>
    <row r="42" spans="1:2" x14ac:dyDescent="0.35">
      <c r="A42" s="90" t="s">
        <v>348</v>
      </c>
      <c r="B42" t="s">
        <v>218</v>
      </c>
    </row>
    <row r="43" spans="1:2" x14ac:dyDescent="0.35">
      <c r="A43" s="90" t="s">
        <v>349</v>
      </c>
      <c r="B43" t="s">
        <v>218</v>
      </c>
    </row>
    <row r="44" spans="1:2" x14ac:dyDescent="0.35">
      <c r="A44" s="90" t="s">
        <v>350</v>
      </c>
      <c r="B44" t="s">
        <v>218</v>
      </c>
    </row>
    <row r="45" spans="1:2" x14ac:dyDescent="0.35">
      <c r="A45" s="90" t="s">
        <v>351</v>
      </c>
      <c r="B45" t="s">
        <v>218</v>
      </c>
    </row>
    <row r="46" spans="1:2" x14ac:dyDescent="0.35">
      <c r="A46" s="16" t="s">
        <v>448</v>
      </c>
      <c r="B46" t="s">
        <v>218</v>
      </c>
    </row>
    <row r="47" spans="1:2" x14ac:dyDescent="0.35">
      <c r="A47" s="90" t="s">
        <v>353</v>
      </c>
      <c r="B47" t="s">
        <v>188</v>
      </c>
    </row>
    <row r="48" spans="1:2" x14ac:dyDescent="0.35">
      <c r="A48" s="90" t="s">
        <v>453</v>
      </c>
      <c r="B48" t="s">
        <v>188</v>
      </c>
    </row>
    <row r="49" spans="1:2" x14ac:dyDescent="0.35">
      <c r="A49" s="90" t="s">
        <v>354</v>
      </c>
      <c r="B49" t="s">
        <v>188</v>
      </c>
    </row>
    <row r="50" spans="1:2" x14ac:dyDescent="0.35">
      <c r="A50" s="90" t="s">
        <v>355</v>
      </c>
      <c r="B50" t="s">
        <v>188</v>
      </c>
    </row>
    <row r="51" spans="1:2" x14ac:dyDescent="0.35">
      <c r="A51" s="90" t="s">
        <v>356</v>
      </c>
      <c r="B51" t="s">
        <v>188</v>
      </c>
    </row>
    <row r="52" spans="1:2" x14ac:dyDescent="0.35">
      <c r="A52" s="90" t="s">
        <v>357</v>
      </c>
      <c r="B52" t="s">
        <v>188</v>
      </c>
    </row>
    <row r="53" spans="1:2" x14ac:dyDescent="0.35">
      <c r="A53" s="90" t="s">
        <v>359</v>
      </c>
      <c r="B53" t="s">
        <v>191</v>
      </c>
    </row>
    <row r="54" spans="1:2" x14ac:dyDescent="0.35">
      <c r="A54" s="90" t="s">
        <v>360</v>
      </c>
      <c r="B54" t="s">
        <v>191</v>
      </c>
    </row>
    <row r="55" spans="1:2" x14ac:dyDescent="0.35">
      <c r="A55" s="90" t="s">
        <v>361</v>
      </c>
      <c r="B55" t="s">
        <v>191</v>
      </c>
    </row>
    <row r="56" spans="1:2" x14ac:dyDescent="0.35">
      <c r="A56" s="90" t="s">
        <v>362</v>
      </c>
      <c r="B56" t="s">
        <v>191</v>
      </c>
    </row>
    <row r="57" spans="1:2" x14ac:dyDescent="0.35">
      <c r="A57" s="90" t="s">
        <v>364</v>
      </c>
      <c r="B57" t="s">
        <v>191</v>
      </c>
    </row>
    <row r="58" spans="1:2" x14ac:dyDescent="0.35">
      <c r="A58" s="90" t="s">
        <v>365</v>
      </c>
      <c r="B58" t="s">
        <v>191</v>
      </c>
    </row>
    <row r="59" spans="1:2" x14ac:dyDescent="0.35">
      <c r="A59" s="90" t="s">
        <v>366</v>
      </c>
      <c r="B59" t="s">
        <v>191</v>
      </c>
    </row>
    <row r="60" spans="1:2" x14ac:dyDescent="0.35">
      <c r="A60" s="90" t="s">
        <v>367</v>
      </c>
      <c r="B60" t="s">
        <v>191</v>
      </c>
    </row>
    <row r="61" spans="1:2" x14ac:dyDescent="0.35">
      <c r="A61" s="90" t="s">
        <v>368</v>
      </c>
      <c r="B61" t="s">
        <v>191</v>
      </c>
    </row>
    <row r="62" spans="1:2" x14ac:dyDescent="0.35">
      <c r="A62" s="90" t="s">
        <v>369</v>
      </c>
      <c r="B62" t="s">
        <v>191</v>
      </c>
    </row>
    <row r="63" spans="1:2" x14ac:dyDescent="0.35">
      <c r="A63" s="90" t="s">
        <v>370</v>
      </c>
      <c r="B63" t="s">
        <v>191</v>
      </c>
    </row>
    <row r="64" spans="1:2" x14ac:dyDescent="0.35">
      <c r="A64" s="90" t="s">
        <v>371</v>
      </c>
      <c r="B64" t="s">
        <v>191</v>
      </c>
    </row>
    <row r="65" spans="1:2" x14ac:dyDescent="0.35">
      <c r="A65" s="90" t="s">
        <v>372</v>
      </c>
      <c r="B65" t="s">
        <v>191</v>
      </c>
    </row>
    <row r="66" spans="1:2" x14ac:dyDescent="0.35">
      <c r="A66" s="90" t="s">
        <v>373</v>
      </c>
      <c r="B66" t="s">
        <v>191</v>
      </c>
    </row>
    <row r="67" spans="1:2" x14ac:dyDescent="0.35">
      <c r="A67" s="90" t="s">
        <v>374</v>
      </c>
      <c r="B67" t="s">
        <v>191</v>
      </c>
    </row>
    <row r="68" spans="1:2" x14ac:dyDescent="0.35">
      <c r="A68" s="90" t="s">
        <v>375</v>
      </c>
      <c r="B68" t="s">
        <v>191</v>
      </c>
    </row>
    <row r="69" spans="1:2" x14ac:dyDescent="0.35">
      <c r="A69" s="90" t="s">
        <v>376</v>
      </c>
      <c r="B69" t="s">
        <v>191</v>
      </c>
    </row>
    <row r="70" spans="1:2" x14ac:dyDescent="0.35">
      <c r="A70" s="90" t="s">
        <v>377</v>
      </c>
      <c r="B70" t="s">
        <v>191</v>
      </c>
    </row>
    <row r="71" spans="1:2" x14ac:dyDescent="0.35">
      <c r="A71" s="90" t="s">
        <v>378</v>
      </c>
      <c r="B71" t="s">
        <v>191</v>
      </c>
    </row>
    <row r="72" spans="1:2" x14ac:dyDescent="0.35">
      <c r="A72" s="16" t="s">
        <v>449</v>
      </c>
      <c r="B72" t="s">
        <v>191</v>
      </c>
    </row>
    <row r="73" spans="1:2" x14ac:dyDescent="0.35">
      <c r="A73" s="90" t="s">
        <v>379</v>
      </c>
      <c r="B73" t="s">
        <v>191</v>
      </c>
    </row>
    <row r="74" spans="1:2" x14ac:dyDescent="0.35">
      <c r="A74" s="90" t="s">
        <v>381</v>
      </c>
      <c r="B74" t="s">
        <v>189</v>
      </c>
    </row>
    <row r="75" spans="1:2" x14ac:dyDescent="0.35">
      <c r="A75" s="90" t="s">
        <v>382</v>
      </c>
      <c r="B75" t="s">
        <v>190</v>
      </c>
    </row>
    <row r="76" spans="1:2" x14ac:dyDescent="0.35">
      <c r="A76" s="90" t="s">
        <v>383</v>
      </c>
      <c r="B76" t="s">
        <v>189</v>
      </c>
    </row>
    <row r="77" spans="1:2" x14ac:dyDescent="0.35">
      <c r="A77" s="90" t="s">
        <v>384</v>
      </c>
      <c r="B77" t="s">
        <v>189</v>
      </c>
    </row>
    <row r="78" spans="1:2" x14ac:dyDescent="0.35">
      <c r="A78" s="90" t="s">
        <v>385</v>
      </c>
      <c r="B78" t="s">
        <v>170</v>
      </c>
    </row>
    <row r="79" spans="1:2" x14ac:dyDescent="0.35">
      <c r="A79" s="90" t="s">
        <v>386</v>
      </c>
    </row>
    <row r="81" spans="1:2" x14ac:dyDescent="0.35">
      <c r="A81" s="90" t="s">
        <v>387</v>
      </c>
      <c r="B81" s="21" t="s">
        <v>9</v>
      </c>
    </row>
    <row r="82" spans="1:2" x14ac:dyDescent="0.35">
      <c r="A82" s="90" t="s">
        <v>388</v>
      </c>
      <c r="B82" s="21" t="s">
        <v>9</v>
      </c>
    </row>
    <row r="83" spans="1:2" x14ac:dyDescent="0.35">
      <c r="A83" s="90" t="s">
        <v>389</v>
      </c>
      <c r="B83" s="21" t="s">
        <v>9</v>
      </c>
    </row>
    <row r="84" spans="1:2" x14ac:dyDescent="0.35">
      <c r="A84" s="90" t="s">
        <v>390</v>
      </c>
      <c r="B84" s="21" t="s">
        <v>9</v>
      </c>
    </row>
    <row r="85" spans="1:2" x14ac:dyDescent="0.35">
      <c r="A85" s="90" t="s">
        <v>391</v>
      </c>
      <c r="B85" s="21" t="s">
        <v>196</v>
      </c>
    </row>
    <row r="86" spans="1:2" x14ac:dyDescent="0.35">
      <c r="A86" s="90" t="s">
        <v>392</v>
      </c>
      <c r="B86" s="21" t="s">
        <v>196</v>
      </c>
    </row>
    <row r="87" spans="1:2" x14ac:dyDescent="0.35">
      <c r="A87" s="90" t="s">
        <v>393</v>
      </c>
      <c r="B87" s="21" t="s">
        <v>196</v>
      </c>
    </row>
    <row r="88" spans="1:2" x14ac:dyDescent="0.35">
      <c r="A88" s="90" t="s">
        <v>394</v>
      </c>
      <c r="B88" s="21" t="s">
        <v>197</v>
      </c>
    </row>
    <row r="89" spans="1:2" x14ac:dyDescent="0.35">
      <c r="A89" s="90" t="s">
        <v>395</v>
      </c>
      <c r="B89" s="21" t="s">
        <v>197</v>
      </c>
    </row>
    <row r="90" spans="1:2" x14ac:dyDescent="0.35">
      <c r="A90" s="90" t="s">
        <v>396</v>
      </c>
      <c r="B90" s="21" t="s">
        <v>197</v>
      </c>
    </row>
    <row r="91" spans="1:2" x14ac:dyDescent="0.35">
      <c r="A91" s="90" t="s">
        <v>397</v>
      </c>
      <c r="B91" s="21" t="s">
        <v>197</v>
      </c>
    </row>
    <row r="92" spans="1:2" x14ac:dyDescent="0.35">
      <c r="A92" s="90" t="s">
        <v>398</v>
      </c>
      <c r="B92" s="21" t="s">
        <v>197</v>
      </c>
    </row>
    <row r="93" spans="1:2" x14ac:dyDescent="0.35">
      <c r="A93" s="90" t="s">
        <v>399</v>
      </c>
      <c r="B93" s="21" t="s">
        <v>197</v>
      </c>
    </row>
    <row r="94" spans="1:2" x14ac:dyDescent="0.35">
      <c r="A94" s="90" t="s">
        <v>401</v>
      </c>
      <c r="B94" s="21" t="s">
        <v>9</v>
      </c>
    </row>
    <row r="95" spans="1:2" x14ac:dyDescent="0.35">
      <c r="A95" s="90" t="s">
        <v>402</v>
      </c>
      <c r="B95" s="21" t="s">
        <v>50</v>
      </c>
    </row>
    <row r="96" spans="1:2" x14ac:dyDescent="0.35">
      <c r="A96" s="90" t="s">
        <v>403</v>
      </c>
      <c r="B96" t="s">
        <v>198</v>
      </c>
    </row>
    <row r="97" spans="1:2" x14ac:dyDescent="0.35">
      <c r="A97" s="90" t="s">
        <v>404</v>
      </c>
      <c r="B97" t="s">
        <v>198</v>
      </c>
    </row>
    <row r="98" spans="1:2" x14ac:dyDescent="0.35">
      <c r="A98" s="90" t="s">
        <v>405</v>
      </c>
      <c r="B98" t="s">
        <v>146</v>
      </c>
    </row>
    <row r="99" spans="1:2" x14ac:dyDescent="0.35">
      <c r="A99" s="90" t="s">
        <v>406</v>
      </c>
      <c r="B99" s="21" t="s">
        <v>199</v>
      </c>
    </row>
    <row r="100" spans="1:2" x14ac:dyDescent="0.35">
      <c r="A100" s="90" t="s">
        <v>407</v>
      </c>
      <c r="B100" s="21" t="s">
        <v>446</v>
      </c>
    </row>
    <row r="101" spans="1:2" x14ac:dyDescent="0.35">
      <c r="A101" s="90" t="s">
        <v>408</v>
      </c>
      <c r="B101" s="21" t="s">
        <v>200</v>
      </c>
    </row>
    <row r="102" spans="1:2" x14ac:dyDescent="0.35">
      <c r="A102" s="90" t="s">
        <v>409</v>
      </c>
      <c r="B102" s="21" t="s">
        <v>200</v>
      </c>
    </row>
    <row r="103" spans="1:2" x14ac:dyDescent="0.35">
      <c r="A103" s="90" t="s">
        <v>410</v>
      </c>
      <c r="B103" s="21" t="s">
        <v>200</v>
      </c>
    </row>
    <row r="104" spans="1:2" x14ac:dyDescent="0.35">
      <c r="A104" s="90" t="s">
        <v>411</v>
      </c>
      <c r="B104" s="21" t="s">
        <v>200</v>
      </c>
    </row>
    <row r="105" spans="1:2" x14ac:dyDescent="0.35">
      <c r="A105" s="90" t="s">
        <v>412</v>
      </c>
      <c r="B105" s="21" t="s">
        <v>200</v>
      </c>
    </row>
    <row r="106" spans="1:2" x14ac:dyDescent="0.35">
      <c r="A106" s="90" t="s">
        <v>413</v>
      </c>
      <c r="B106" s="21" t="s">
        <v>200</v>
      </c>
    </row>
    <row r="107" spans="1:2" x14ac:dyDescent="0.35">
      <c r="A107" s="90" t="s">
        <v>414</v>
      </c>
      <c r="B107" s="21" t="s">
        <v>200</v>
      </c>
    </row>
    <row r="108" spans="1:2" x14ac:dyDescent="0.35">
      <c r="A108" s="90" t="s">
        <v>415</v>
      </c>
      <c r="B108" s="21" t="s">
        <v>200</v>
      </c>
    </row>
    <row r="109" spans="1:2" x14ac:dyDescent="0.35">
      <c r="A109" s="90" t="s">
        <v>416</v>
      </c>
      <c r="B109" s="21" t="s">
        <v>200</v>
      </c>
    </row>
    <row r="110" spans="1:2" x14ac:dyDescent="0.35">
      <c r="A110" s="90" t="s">
        <v>417</v>
      </c>
      <c r="B110" s="21" t="s">
        <v>200</v>
      </c>
    </row>
    <row r="111" spans="1:2" x14ac:dyDescent="0.35">
      <c r="A111" s="90" t="s">
        <v>418</v>
      </c>
      <c r="B111" s="21" t="s">
        <v>200</v>
      </c>
    </row>
    <row r="112" spans="1:2" x14ac:dyDescent="0.35">
      <c r="A112" s="90" t="s">
        <v>419</v>
      </c>
      <c r="B112" s="21" t="s">
        <v>200</v>
      </c>
    </row>
    <row r="113" spans="1:2" x14ac:dyDescent="0.35">
      <c r="A113" s="90" t="s">
        <v>420</v>
      </c>
      <c r="B113" s="21" t="s">
        <v>200</v>
      </c>
    </row>
    <row r="114" spans="1:2" x14ac:dyDescent="0.35">
      <c r="A114" s="90" t="s">
        <v>421</v>
      </c>
      <c r="B114" s="21" t="s">
        <v>200</v>
      </c>
    </row>
    <row r="115" spans="1:2" x14ac:dyDescent="0.35">
      <c r="A115" s="90" t="s">
        <v>422</v>
      </c>
      <c r="B115" s="21" t="s">
        <v>200</v>
      </c>
    </row>
    <row r="116" spans="1:2" x14ac:dyDescent="0.35">
      <c r="A116" s="90" t="s">
        <v>423</v>
      </c>
      <c r="B116" s="21" t="s">
        <v>200</v>
      </c>
    </row>
    <row r="117" spans="1:2" x14ac:dyDescent="0.35">
      <c r="A117" s="90" t="s">
        <v>425</v>
      </c>
      <c r="B117" s="21" t="s">
        <v>200</v>
      </c>
    </row>
    <row r="118" spans="1:2" x14ac:dyDescent="0.35">
      <c r="A118" s="90" t="s">
        <v>426</v>
      </c>
      <c r="B118" t="s">
        <v>201</v>
      </c>
    </row>
    <row r="119" spans="1:2" x14ac:dyDescent="0.35">
      <c r="A119" s="90" t="s">
        <v>427</v>
      </c>
      <c r="B119" t="s">
        <v>201</v>
      </c>
    </row>
    <row r="120" spans="1:2" x14ac:dyDescent="0.35">
      <c r="A120" s="90" t="s">
        <v>428</v>
      </c>
      <c r="B120" t="s">
        <v>201</v>
      </c>
    </row>
    <row r="121" spans="1:2" x14ac:dyDescent="0.35">
      <c r="A121" s="90" t="s">
        <v>429</v>
      </c>
      <c r="B121" t="s">
        <v>201</v>
      </c>
    </row>
    <row r="122" spans="1:2" x14ac:dyDescent="0.35">
      <c r="A122" s="90" t="s">
        <v>430</v>
      </c>
      <c r="B122" t="s">
        <v>201</v>
      </c>
    </row>
    <row r="123" spans="1:2" x14ac:dyDescent="0.35">
      <c r="A123" s="90" t="s">
        <v>431</v>
      </c>
      <c r="B123" t="s">
        <v>201</v>
      </c>
    </row>
    <row r="124" spans="1:2" x14ac:dyDescent="0.35">
      <c r="A124" s="90" t="s">
        <v>432</v>
      </c>
      <c r="B124" t="s">
        <v>201</v>
      </c>
    </row>
    <row r="125" spans="1:2" x14ac:dyDescent="0.35">
      <c r="A125" s="90" t="s">
        <v>433</v>
      </c>
      <c r="B125" t="s">
        <v>201</v>
      </c>
    </row>
    <row r="126" spans="1:2" x14ac:dyDescent="0.35">
      <c r="A126" s="90" t="s">
        <v>434</v>
      </c>
      <c r="B126" t="s">
        <v>201</v>
      </c>
    </row>
    <row r="127" spans="1:2" x14ac:dyDescent="0.35">
      <c r="A127" s="90" t="s">
        <v>436</v>
      </c>
      <c r="B127" t="s">
        <v>203</v>
      </c>
    </row>
    <row r="128" spans="1:2" x14ac:dyDescent="0.35">
      <c r="A128" s="90" t="s">
        <v>437</v>
      </c>
      <c r="B128" t="s">
        <v>203</v>
      </c>
    </row>
    <row r="129" spans="1:2" x14ac:dyDescent="0.35">
      <c r="A129" s="90" t="s">
        <v>438</v>
      </c>
      <c r="B129" t="s">
        <v>203</v>
      </c>
    </row>
    <row r="130" spans="1:2" x14ac:dyDescent="0.35">
      <c r="A130" s="90" t="s">
        <v>439</v>
      </c>
      <c r="B130" s="21" t="s">
        <v>446</v>
      </c>
    </row>
    <row r="131" spans="1:2" x14ac:dyDescent="0.35">
      <c r="A131" s="90" t="s">
        <v>440</v>
      </c>
      <c r="B131" s="21" t="s">
        <v>446</v>
      </c>
    </row>
    <row r="132" spans="1:2" x14ac:dyDescent="0.35">
      <c r="A132" s="90" t="s">
        <v>441</v>
      </c>
      <c r="B132" s="21" t="s">
        <v>446</v>
      </c>
    </row>
    <row r="133" spans="1:2" x14ac:dyDescent="0.35">
      <c r="A133" s="90" t="s">
        <v>442</v>
      </c>
      <c r="B133" s="21" t="s">
        <v>446</v>
      </c>
    </row>
    <row r="134" spans="1:2" x14ac:dyDescent="0.35">
      <c r="A134" s="90" t="s">
        <v>443</v>
      </c>
      <c r="B134" t="s">
        <v>202</v>
      </c>
    </row>
    <row r="135" spans="1:2" x14ac:dyDescent="0.35">
      <c r="A135" s="90" t="s">
        <v>444</v>
      </c>
      <c r="B135" t="s">
        <v>12</v>
      </c>
    </row>
    <row r="136" spans="1:2" x14ac:dyDescent="0.35">
      <c r="A136" s="90" t="s">
        <v>445</v>
      </c>
      <c r="B136" t="s">
        <v>12</v>
      </c>
    </row>
    <row r="137" spans="1:2" x14ac:dyDescent="0.35">
      <c r="A137" s="90" t="s">
        <v>195</v>
      </c>
      <c r="B137" t="s">
        <v>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6C30-E0B7-404F-AAC8-FA744FF3FDF6}">
  <sheetPr>
    <tabColor theme="9" tint="0.79998168889431442"/>
  </sheetPr>
  <dimension ref="A1:Y100"/>
  <sheetViews>
    <sheetView workbookViewId="0">
      <selection activeCell="S17" sqref="S17"/>
    </sheetView>
  </sheetViews>
  <sheetFormatPr defaultRowHeight="14.5" x14ac:dyDescent="0.35"/>
  <cols>
    <col min="2" max="2" width="35.26953125" customWidth="1"/>
    <col min="3" max="4" width="11.1796875" style="67" customWidth="1"/>
    <col min="5" max="5" width="10.26953125" style="67" customWidth="1"/>
    <col min="6" max="6" width="11.1796875" style="67" customWidth="1"/>
    <col min="7" max="8" width="11.54296875" style="3" customWidth="1"/>
    <col min="9" max="9" width="9.1796875" customWidth="1"/>
    <col min="11" max="22" width="9.7265625" bestFit="1" customWidth="1"/>
    <col min="23" max="23" width="10.26953125" bestFit="1" customWidth="1"/>
    <col min="25" max="25" width="11.54296875" bestFit="1" customWidth="1"/>
    <col min="27" max="27" width="16.26953125" bestFit="1" customWidth="1"/>
    <col min="28" max="28" width="16.26953125" customWidth="1"/>
  </cols>
  <sheetData>
    <row r="1" spans="1:25" ht="18" x14ac:dyDescent="0.4">
      <c r="B1" s="64" t="s">
        <v>172</v>
      </c>
      <c r="C1" s="65"/>
      <c r="D1" s="65"/>
      <c r="E1" s="65"/>
      <c r="F1" s="65"/>
    </row>
    <row r="2" spans="1:25" ht="18" x14ac:dyDescent="0.4">
      <c r="B2" s="64" t="s">
        <v>204</v>
      </c>
      <c r="C2" s="65"/>
      <c r="D2" s="65"/>
      <c r="E2" s="65"/>
      <c r="F2" s="65"/>
    </row>
    <row r="3" spans="1:25" ht="15" thickBot="1" x14ac:dyDescent="0.4">
      <c r="B3" s="66" t="s">
        <v>304</v>
      </c>
      <c r="C3" s="65"/>
      <c r="D3" s="65"/>
      <c r="E3" s="65"/>
      <c r="F3" s="65"/>
    </row>
    <row r="4" spans="1:25" ht="15" thickBot="1" x14ac:dyDescent="0.4">
      <c r="K4" s="123" t="s">
        <v>305</v>
      </c>
      <c r="L4" s="124"/>
      <c r="M4" s="124"/>
      <c r="N4" s="124"/>
      <c r="O4" s="124"/>
      <c r="P4" s="124"/>
      <c r="Q4" s="124"/>
      <c r="R4" s="124"/>
      <c r="S4" s="124"/>
      <c r="T4" s="124"/>
      <c r="U4" s="124"/>
      <c r="V4" s="124"/>
      <c r="W4" s="125"/>
    </row>
    <row r="5" spans="1:25" ht="24" x14ac:dyDescent="0.35">
      <c r="B5" s="1"/>
      <c r="C5" s="68" t="s">
        <v>214</v>
      </c>
      <c r="D5" s="68" t="s">
        <v>215</v>
      </c>
      <c r="E5" s="68" t="s">
        <v>216</v>
      </c>
      <c r="F5" s="68" t="s">
        <v>14</v>
      </c>
      <c r="G5" s="69" t="s">
        <v>306</v>
      </c>
      <c r="H5" s="69"/>
      <c r="K5" s="70">
        <v>45292</v>
      </c>
      <c r="L5" s="70">
        <v>45323</v>
      </c>
      <c r="M5" s="70">
        <v>45352</v>
      </c>
      <c r="N5" s="70">
        <v>45383</v>
      </c>
      <c r="O5" s="70">
        <v>45413</v>
      </c>
      <c r="P5" s="70">
        <v>45444</v>
      </c>
      <c r="Q5" s="70">
        <v>45474</v>
      </c>
      <c r="R5" s="70">
        <v>45505</v>
      </c>
      <c r="S5" s="70">
        <v>45536</v>
      </c>
      <c r="T5" s="70">
        <v>45566</v>
      </c>
      <c r="U5" s="70">
        <v>45597</v>
      </c>
      <c r="V5" s="70">
        <v>45627</v>
      </c>
      <c r="W5" s="68" t="s">
        <v>14</v>
      </c>
      <c r="Y5" s="68" t="s">
        <v>307</v>
      </c>
    </row>
    <row r="6" spans="1:25" x14ac:dyDescent="0.35">
      <c r="B6" s="16" t="s">
        <v>173</v>
      </c>
      <c r="C6" s="71"/>
      <c r="D6" s="71"/>
      <c r="E6" s="71"/>
      <c r="F6" s="71"/>
      <c r="K6" s="71"/>
      <c r="L6" s="71"/>
      <c r="M6" s="71"/>
      <c r="N6" s="71"/>
      <c r="O6" s="71"/>
      <c r="P6" s="71"/>
      <c r="Q6" s="71"/>
      <c r="R6" s="71"/>
      <c r="S6" s="71"/>
      <c r="T6" s="71"/>
      <c r="U6" s="71"/>
      <c r="V6" s="71"/>
      <c r="W6" s="71"/>
    </row>
    <row r="7" spans="1:25" x14ac:dyDescent="0.35">
      <c r="B7" s="16" t="s">
        <v>227</v>
      </c>
      <c r="C7" s="71"/>
      <c r="D7" s="71"/>
      <c r="E7" s="71"/>
      <c r="F7" s="72">
        <f>SUM(C7:E7)</f>
        <v>0</v>
      </c>
      <c r="K7" s="71"/>
      <c r="L7" s="71"/>
      <c r="M7" s="71"/>
      <c r="N7" s="72"/>
      <c r="O7" s="71"/>
      <c r="P7" s="71"/>
      <c r="Q7" s="71"/>
      <c r="R7" s="72"/>
      <c r="S7" s="71"/>
      <c r="T7" s="71"/>
      <c r="U7" s="71"/>
      <c r="V7" s="72"/>
      <c r="W7" s="71"/>
    </row>
    <row r="8" spans="1:25" x14ac:dyDescent="0.35">
      <c r="A8" s="4" t="s">
        <v>185</v>
      </c>
      <c r="B8" s="16" t="s">
        <v>228</v>
      </c>
      <c r="C8" s="72"/>
      <c r="D8" s="73">
        <v>25575</v>
      </c>
      <c r="E8" s="72"/>
      <c r="F8" s="72">
        <f t="shared" ref="F8:F21" si="0">SUM(C8:E8)</f>
        <v>25575</v>
      </c>
      <c r="K8" s="72">
        <f>'[1]Admin by Month'!J8+'[1]Membership by Month'!J8+'[1]Education by Month'!J8</f>
        <v>2131.25</v>
      </c>
      <c r="L8" s="72">
        <f>'[1]Admin by Month'!K8+'[1]Membership by Month'!K8+'[1]Education by Month'!K8</f>
        <v>2131.25</v>
      </c>
      <c r="M8" s="72">
        <f>'[1]Admin by Month'!L8+'[1]Membership by Month'!L8+'[1]Education by Month'!L8</f>
        <v>2131.25</v>
      </c>
      <c r="N8" s="72">
        <f>'[1]Admin by Month'!M8+'[1]Membership by Month'!M8+'[1]Education by Month'!M8</f>
        <v>2131.25</v>
      </c>
      <c r="O8" s="72">
        <f>'[1]Admin by Month'!N8+'[1]Membership by Month'!N8+'[1]Education by Month'!N8</f>
        <v>2131.25</v>
      </c>
      <c r="P8" s="72">
        <f>'[1]Admin by Month'!O8+'[1]Membership by Month'!O8+'[1]Education by Month'!O8</f>
        <v>2131.25</v>
      </c>
      <c r="Q8" s="72">
        <f>'[1]Admin by Month'!P8+'[1]Membership by Month'!P8+'[1]Education by Month'!P8</f>
        <v>2131.25</v>
      </c>
      <c r="R8" s="72">
        <f>'[1]Admin by Month'!Q8+'[1]Membership by Month'!Q8+'[1]Education by Month'!Q8</f>
        <v>2131.25</v>
      </c>
      <c r="S8" s="72">
        <f>'[1]Admin by Month'!R8+'[1]Membership by Month'!R8+'[1]Education by Month'!R8</f>
        <v>2131.25</v>
      </c>
      <c r="T8" s="72">
        <f>'[1]Admin by Month'!S8+'[1]Membership by Month'!S8+'[1]Education by Month'!S8</f>
        <v>2131.25</v>
      </c>
      <c r="U8" s="72">
        <f>'[1]Admin by Month'!T8+'[1]Membership by Month'!T8+'[1]Education by Month'!T8</f>
        <v>2131.25</v>
      </c>
      <c r="V8" s="72">
        <f>'[1]Admin by Month'!U8+'[1]Membership by Month'!U8+'[1]Education by Month'!U8</f>
        <v>2131.25</v>
      </c>
      <c r="W8" s="72">
        <f>SUM(K8:V8)</f>
        <v>25575</v>
      </c>
      <c r="Y8" s="74">
        <f>F8-W8</f>
        <v>0</v>
      </c>
    </row>
    <row r="9" spans="1:25" x14ac:dyDescent="0.35">
      <c r="A9" s="4" t="s">
        <v>185</v>
      </c>
      <c r="B9" s="16" t="s">
        <v>229</v>
      </c>
      <c r="C9" s="72"/>
      <c r="D9" s="73">
        <v>18375</v>
      </c>
      <c r="E9" s="72"/>
      <c r="F9" s="72">
        <f t="shared" si="0"/>
        <v>18375</v>
      </c>
      <c r="K9" s="72">
        <f>'[1]Admin by Month'!J9+'[1]Membership by Month'!J9+'[1]Education by Month'!J9</f>
        <v>1531.25</v>
      </c>
      <c r="L9" s="72">
        <f>'[1]Admin by Month'!K9+'[1]Membership by Month'!K9+'[1]Education by Month'!K9</f>
        <v>1531.25</v>
      </c>
      <c r="M9" s="72">
        <f>'[1]Admin by Month'!L9+'[1]Membership by Month'!L9+'[1]Education by Month'!L9</f>
        <v>1531.25</v>
      </c>
      <c r="N9" s="72">
        <f>'[1]Admin by Month'!M9+'[1]Membership by Month'!M9+'[1]Education by Month'!M9</f>
        <v>1531.25</v>
      </c>
      <c r="O9" s="72">
        <f>'[1]Admin by Month'!N9+'[1]Membership by Month'!N9+'[1]Education by Month'!N9</f>
        <v>1531.25</v>
      </c>
      <c r="P9" s="72">
        <f>'[1]Admin by Month'!O9+'[1]Membership by Month'!O9+'[1]Education by Month'!O9</f>
        <v>1531.25</v>
      </c>
      <c r="Q9" s="72">
        <f>'[1]Admin by Month'!P9+'[1]Membership by Month'!P9+'[1]Education by Month'!P9</f>
        <v>1531.25</v>
      </c>
      <c r="R9" s="72">
        <f>'[1]Admin by Month'!Q9+'[1]Membership by Month'!Q9+'[1]Education by Month'!Q9</f>
        <v>1531.25</v>
      </c>
      <c r="S9" s="72">
        <f>'[1]Admin by Month'!R9+'[1]Membership by Month'!R9+'[1]Education by Month'!R9</f>
        <v>1531.25</v>
      </c>
      <c r="T9" s="72">
        <f>'[1]Admin by Month'!S9+'[1]Membership by Month'!S9+'[1]Education by Month'!S9</f>
        <v>1531.25</v>
      </c>
      <c r="U9" s="72">
        <f>'[1]Admin by Month'!T9+'[1]Membership by Month'!T9+'[1]Education by Month'!T9</f>
        <v>1531.25</v>
      </c>
      <c r="V9" s="72">
        <f>'[1]Admin by Month'!U9+'[1]Membership by Month'!U9+'[1]Education by Month'!U9</f>
        <v>1531.25</v>
      </c>
      <c r="W9" s="72">
        <f t="shared" ref="W9:W16" si="1">SUM(K9:V9)</f>
        <v>18375</v>
      </c>
      <c r="Y9" s="74">
        <f t="shared" ref="Y9:Y72" si="2">F9-W9</f>
        <v>0</v>
      </c>
    </row>
    <row r="10" spans="1:25" x14ac:dyDescent="0.35">
      <c r="A10" s="4" t="s">
        <v>185</v>
      </c>
      <c r="B10" s="16" t="s">
        <v>230</v>
      </c>
      <c r="C10" s="72"/>
      <c r="D10" s="73">
        <v>15770</v>
      </c>
      <c r="E10" s="72"/>
      <c r="F10" s="72">
        <f t="shared" si="0"/>
        <v>15770</v>
      </c>
      <c r="K10" s="72">
        <f>'[1]Admin by Month'!J10+'[1]Membership by Month'!J10+'[1]Education by Month'!J10</f>
        <v>1314.1666666666667</v>
      </c>
      <c r="L10" s="72">
        <f>'[1]Admin by Month'!K10+'[1]Membership by Month'!K10+'[1]Education by Month'!K10</f>
        <v>1314.1666666666667</v>
      </c>
      <c r="M10" s="72">
        <f>'[1]Admin by Month'!L10+'[1]Membership by Month'!L10+'[1]Education by Month'!L10</f>
        <v>1314.1666666666667</v>
      </c>
      <c r="N10" s="72">
        <f>'[1]Admin by Month'!M10+'[1]Membership by Month'!M10+'[1]Education by Month'!M10</f>
        <v>1314.1666666666667</v>
      </c>
      <c r="O10" s="72">
        <f>'[1]Admin by Month'!N10+'[1]Membership by Month'!N10+'[1]Education by Month'!N10</f>
        <v>1314.1666666666667</v>
      </c>
      <c r="P10" s="72">
        <f>'[1]Admin by Month'!O10+'[1]Membership by Month'!O10+'[1]Education by Month'!O10</f>
        <v>1314.1666666666667</v>
      </c>
      <c r="Q10" s="72">
        <f>'[1]Admin by Month'!P10+'[1]Membership by Month'!P10+'[1]Education by Month'!P10</f>
        <v>1314.1666666666667</v>
      </c>
      <c r="R10" s="72">
        <f>'[1]Admin by Month'!Q10+'[1]Membership by Month'!Q10+'[1]Education by Month'!Q10</f>
        <v>1314.1666666666667</v>
      </c>
      <c r="S10" s="72">
        <f>'[1]Admin by Month'!R10+'[1]Membership by Month'!R10+'[1]Education by Month'!R10</f>
        <v>1314.1666666666667</v>
      </c>
      <c r="T10" s="72">
        <f>'[1]Admin by Month'!S10+'[1]Membership by Month'!S10+'[1]Education by Month'!S10</f>
        <v>1314.1666666666667</v>
      </c>
      <c r="U10" s="72">
        <f>'[1]Admin by Month'!T10+'[1]Membership by Month'!T10+'[1]Education by Month'!T10</f>
        <v>1314.1666666666667</v>
      </c>
      <c r="V10" s="72">
        <f>'[1]Admin by Month'!U10+'[1]Membership by Month'!U10+'[1]Education by Month'!U10</f>
        <v>1314.1666666666667</v>
      </c>
      <c r="W10" s="72">
        <f t="shared" si="1"/>
        <v>15769.999999999998</v>
      </c>
      <c r="Y10" s="74">
        <f t="shared" si="2"/>
        <v>0</v>
      </c>
    </row>
    <row r="11" spans="1:25" x14ac:dyDescent="0.35">
      <c r="A11" s="4" t="s">
        <v>185</v>
      </c>
      <c r="B11" s="16" t="s">
        <v>231</v>
      </c>
      <c r="C11" s="72"/>
      <c r="D11" s="73">
        <v>87500</v>
      </c>
      <c r="E11" s="72"/>
      <c r="F11" s="72">
        <f t="shared" si="0"/>
        <v>87500</v>
      </c>
      <c r="K11" s="72">
        <f>'[1]Admin by Month'!J11+'[1]Membership by Month'!J11+'[1]Education by Month'!J11</f>
        <v>7291.666666666667</v>
      </c>
      <c r="L11" s="72">
        <f>'[1]Admin by Month'!K11+'[1]Membership by Month'!K11+'[1]Education by Month'!K11</f>
        <v>7291.666666666667</v>
      </c>
      <c r="M11" s="72">
        <f>'[1]Admin by Month'!L11+'[1]Membership by Month'!L11+'[1]Education by Month'!L11</f>
        <v>7291.666666666667</v>
      </c>
      <c r="N11" s="72">
        <f>'[1]Admin by Month'!M11+'[1]Membership by Month'!M11+'[1]Education by Month'!M11</f>
        <v>7291.666666666667</v>
      </c>
      <c r="O11" s="72">
        <f>'[1]Admin by Month'!N11+'[1]Membership by Month'!N11+'[1]Education by Month'!N11</f>
        <v>7291.666666666667</v>
      </c>
      <c r="P11" s="72">
        <f>'[1]Admin by Month'!O11+'[1]Membership by Month'!O11+'[1]Education by Month'!O11</f>
        <v>7291.666666666667</v>
      </c>
      <c r="Q11" s="72">
        <f>'[1]Admin by Month'!P11+'[1]Membership by Month'!P11+'[1]Education by Month'!P11</f>
        <v>7291.666666666667</v>
      </c>
      <c r="R11" s="72">
        <f>'[1]Admin by Month'!Q11+'[1]Membership by Month'!Q11+'[1]Education by Month'!Q11</f>
        <v>7291.666666666667</v>
      </c>
      <c r="S11" s="72">
        <f>'[1]Admin by Month'!R11+'[1]Membership by Month'!R11+'[1]Education by Month'!R11</f>
        <v>7291.666666666667</v>
      </c>
      <c r="T11" s="72">
        <f>'[1]Admin by Month'!S11+'[1]Membership by Month'!S11+'[1]Education by Month'!S11</f>
        <v>7291.666666666667</v>
      </c>
      <c r="U11" s="72">
        <f>'[1]Admin by Month'!T11+'[1]Membership by Month'!T11+'[1]Education by Month'!T11</f>
        <v>7291.666666666667</v>
      </c>
      <c r="V11" s="72">
        <f>'[1]Admin by Month'!U11+'[1]Membership by Month'!U11+'[1]Education by Month'!U11</f>
        <v>7291.666666666667</v>
      </c>
      <c r="W11" s="72">
        <f t="shared" si="1"/>
        <v>87500.000000000015</v>
      </c>
      <c r="Y11" s="74">
        <f t="shared" si="2"/>
        <v>0</v>
      </c>
    </row>
    <row r="12" spans="1:25" x14ac:dyDescent="0.35">
      <c r="A12" s="4" t="s">
        <v>185</v>
      </c>
      <c r="B12" s="16" t="s">
        <v>232</v>
      </c>
      <c r="C12" s="72"/>
      <c r="D12" s="73">
        <v>107120</v>
      </c>
      <c r="E12" s="72"/>
      <c r="F12" s="72">
        <f t="shared" si="0"/>
        <v>107120</v>
      </c>
      <c r="K12" s="72">
        <f>'[1]Admin by Month'!J12+'[1]Membership by Month'!J12+'[1]Education by Month'!J12</f>
        <v>8926.6666666666661</v>
      </c>
      <c r="L12" s="72">
        <f>'[1]Admin by Month'!K12+'[1]Membership by Month'!K12+'[1]Education by Month'!K12</f>
        <v>8926.6666666666661</v>
      </c>
      <c r="M12" s="72">
        <f>'[1]Admin by Month'!L12+'[1]Membership by Month'!L12+'[1]Education by Month'!L12</f>
        <v>8926.6666666666661</v>
      </c>
      <c r="N12" s="72">
        <f>'[1]Admin by Month'!M12+'[1]Membership by Month'!M12+'[1]Education by Month'!M12</f>
        <v>8926.6666666666661</v>
      </c>
      <c r="O12" s="72">
        <f>'[1]Admin by Month'!N12+'[1]Membership by Month'!N12+'[1]Education by Month'!N12</f>
        <v>8926.6666666666661</v>
      </c>
      <c r="P12" s="72">
        <f>'[1]Admin by Month'!O12+'[1]Membership by Month'!O12+'[1]Education by Month'!O12</f>
        <v>8926.6666666666661</v>
      </c>
      <c r="Q12" s="72">
        <f>'[1]Admin by Month'!P12+'[1]Membership by Month'!P12+'[1]Education by Month'!P12</f>
        <v>8926.6666666666661</v>
      </c>
      <c r="R12" s="72">
        <f>'[1]Admin by Month'!Q12+'[1]Membership by Month'!Q12+'[1]Education by Month'!Q12</f>
        <v>8926.6666666666661</v>
      </c>
      <c r="S12" s="72">
        <f>'[1]Admin by Month'!R12+'[1]Membership by Month'!R12+'[1]Education by Month'!R12</f>
        <v>8926.6666666666661</v>
      </c>
      <c r="T12" s="72">
        <f>'[1]Admin by Month'!S12+'[1]Membership by Month'!S12+'[1]Education by Month'!S12</f>
        <v>8926.6666666666661</v>
      </c>
      <c r="U12" s="72">
        <f>'[1]Admin by Month'!T12+'[1]Membership by Month'!T12+'[1]Education by Month'!T12</f>
        <v>8926.6666666666661</v>
      </c>
      <c r="V12" s="72">
        <f>'[1]Admin by Month'!U12+'[1]Membership by Month'!U12+'[1]Education by Month'!U12</f>
        <v>8926.6666666666661</v>
      </c>
      <c r="W12" s="72">
        <f t="shared" si="1"/>
        <v>107120.00000000001</v>
      </c>
      <c r="Y12" s="74">
        <f t="shared" si="2"/>
        <v>0</v>
      </c>
    </row>
    <row r="13" spans="1:25" x14ac:dyDescent="0.35">
      <c r="A13" s="4" t="s">
        <v>185</v>
      </c>
      <c r="B13" s="16" t="s">
        <v>233</v>
      </c>
      <c r="C13" s="72"/>
      <c r="D13" s="73">
        <v>91000</v>
      </c>
      <c r="E13" s="72"/>
      <c r="F13" s="72">
        <f t="shared" si="0"/>
        <v>91000</v>
      </c>
      <c r="K13" s="72">
        <f>'[1]Admin by Month'!J13+'[1]Membership by Month'!J13+'[1]Education by Month'!J13</f>
        <v>7583.333333333333</v>
      </c>
      <c r="L13" s="72">
        <f>'[1]Admin by Month'!K13+'[1]Membership by Month'!K13+'[1]Education by Month'!K13</f>
        <v>7583.333333333333</v>
      </c>
      <c r="M13" s="72">
        <f>'[1]Admin by Month'!L13+'[1]Membership by Month'!L13+'[1]Education by Month'!L13</f>
        <v>7583.333333333333</v>
      </c>
      <c r="N13" s="72">
        <f>'[1]Admin by Month'!M13+'[1]Membership by Month'!M13+'[1]Education by Month'!M13</f>
        <v>7583.333333333333</v>
      </c>
      <c r="O13" s="72">
        <f>'[1]Admin by Month'!N13+'[1]Membership by Month'!N13+'[1]Education by Month'!N13</f>
        <v>7583.333333333333</v>
      </c>
      <c r="P13" s="72">
        <f>'[1]Admin by Month'!O13+'[1]Membership by Month'!O13+'[1]Education by Month'!O13</f>
        <v>7583.333333333333</v>
      </c>
      <c r="Q13" s="72">
        <f>'[1]Admin by Month'!P13+'[1]Membership by Month'!P13+'[1]Education by Month'!P13</f>
        <v>7583.333333333333</v>
      </c>
      <c r="R13" s="72">
        <f>'[1]Admin by Month'!Q13+'[1]Membership by Month'!Q13+'[1]Education by Month'!Q13</f>
        <v>7583.333333333333</v>
      </c>
      <c r="S13" s="72">
        <f>'[1]Admin by Month'!R13+'[1]Membership by Month'!R13+'[1]Education by Month'!R13</f>
        <v>7583.333333333333</v>
      </c>
      <c r="T13" s="72">
        <f>'[1]Admin by Month'!S13+'[1]Membership by Month'!S13+'[1]Education by Month'!S13</f>
        <v>7583.333333333333</v>
      </c>
      <c r="U13" s="72">
        <f>'[1]Admin by Month'!T13+'[1]Membership by Month'!T13+'[1]Education by Month'!T13</f>
        <v>7583.333333333333</v>
      </c>
      <c r="V13" s="72">
        <f>'[1]Admin by Month'!U13+'[1]Membership by Month'!U13+'[1]Education by Month'!U13</f>
        <v>7583.333333333333</v>
      </c>
      <c r="W13" s="72">
        <f t="shared" si="1"/>
        <v>90999.999999999985</v>
      </c>
      <c r="Y13" s="74">
        <f t="shared" si="2"/>
        <v>0</v>
      </c>
    </row>
    <row r="14" spans="1:25" x14ac:dyDescent="0.35">
      <c r="A14" s="4" t="s">
        <v>185</v>
      </c>
      <c r="B14" s="16" t="s">
        <v>234</v>
      </c>
      <c r="C14" s="72"/>
      <c r="D14" s="73">
        <v>38100</v>
      </c>
      <c r="E14" s="72"/>
      <c r="F14" s="72">
        <f t="shared" si="0"/>
        <v>38100</v>
      </c>
      <c r="K14" s="72">
        <f>'[1]Admin by Month'!J14+'[1]Membership by Month'!J14+'[1]Education by Month'!J14</f>
        <v>3175</v>
      </c>
      <c r="L14" s="72">
        <f>'[1]Admin by Month'!K14+'[1]Membership by Month'!K14+'[1]Education by Month'!K14</f>
        <v>3175</v>
      </c>
      <c r="M14" s="72">
        <f>'[1]Admin by Month'!L14+'[1]Membership by Month'!L14+'[1]Education by Month'!L14</f>
        <v>3175</v>
      </c>
      <c r="N14" s="72">
        <f>'[1]Admin by Month'!M14+'[1]Membership by Month'!M14+'[1]Education by Month'!M14</f>
        <v>3175</v>
      </c>
      <c r="O14" s="72">
        <f>'[1]Admin by Month'!N14+'[1]Membership by Month'!N14+'[1]Education by Month'!N14</f>
        <v>3175</v>
      </c>
      <c r="P14" s="72">
        <f>'[1]Admin by Month'!O14+'[1]Membership by Month'!O14+'[1]Education by Month'!O14</f>
        <v>3175</v>
      </c>
      <c r="Q14" s="72">
        <f>'[1]Admin by Month'!P14+'[1]Membership by Month'!P14+'[1]Education by Month'!P14</f>
        <v>3175</v>
      </c>
      <c r="R14" s="72">
        <f>'[1]Admin by Month'!Q14+'[1]Membership by Month'!Q14+'[1]Education by Month'!Q14</f>
        <v>3175</v>
      </c>
      <c r="S14" s="72">
        <f>'[1]Admin by Month'!R14+'[1]Membership by Month'!R14+'[1]Education by Month'!R14</f>
        <v>3175</v>
      </c>
      <c r="T14" s="72">
        <f>'[1]Admin by Month'!S14+'[1]Membership by Month'!S14+'[1]Education by Month'!S14</f>
        <v>3175</v>
      </c>
      <c r="U14" s="72">
        <f>'[1]Admin by Month'!T14+'[1]Membership by Month'!T14+'[1]Education by Month'!T14</f>
        <v>3175</v>
      </c>
      <c r="V14" s="72">
        <f>'[1]Admin by Month'!U14+'[1]Membership by Month'!U14+'[1]Education by Month'!U14</f>
        <v>3175</v>
      </c>
      <c r="W14" s="72">
        <f t="shared" si="1"/>
        <v>38100</v>
      </c>
      <c r="Y14" s="74">
        <f t="shared" si="2"/>
        <v>0</v>
      </c>
    </row>
    <row r="15" spans="1:25" x14ac:dyDescent="0.35">
      <c r="A15" s="4" t="s">
        <v>185</v>
      </c>
      <c r="B15" s="16" t="s">
        <v>235</v>
      </c>
      <c r="C15" s="72"/>
      <c r="D15" s="73">
        <v>76074</v>
      </c>
      <c r="E15" s="72"/>
      <c r="F15" s="72">
        <f t="shared" si="0"/>
        <v>76074</v>
      </c>
      <c r="K15" s="72">
        <f>'[1]Admin by Month'!J15+'[1]Membership by Month'!J15+'[1]Education by Month'!J15</f>
        <v>6339.5</v>
      </c>
      <c r="L15" s="72">
        <f>'[1]Admin by Month'!K15+'[1]Membership by Month'!K15+'[1]Education by Month'!K15</f>
        <v>6339.5</v>
      </c>
      <c r="M15" s="72">
        <f>'[1]Admin by Month'!L15+'[1]Membership by Month'!L15+'[1]Education by Month'!L15</f>
        <v>6339.5</v>
      </c>
      <c r="N15" s="72">
        <f>'[1]Admin by Month'!M15+'[1]Membership by Month'!M15+'[1]Education by Month'!M15</f>
        <v>6339.5</v>
      </c>
      <c r="O15" s="72">
        <f>'[1]Admin by Month'!N15+'[1]Membership by Month'!N15+'[1]Education by Month'!N15</f>
        <v>6339.5</v>
      </c>
      <c r="P15" s="72">
        <f>'[1]Admin by Month'!O15+'[1]Membership by Month'!O15+'[1]Education by Month'!O15</f>
        <v>6339.5</v>
      </c>
      <c r="Q15" s="72">
        <f>'[1]Admin by Month'!P15+'[1]Membership by Month'!P15+'[1]Education by Month'!P15</f>
        <v>6339.5</v>
      </c>
      <c r="R15" s="72">
        <f>'[1]Admin by Month'!Q15+'[1]Membership by Month'!Q15+'[1]Education by Month'!Q15</f>
        <v>6339.5</v>
      </c>
      <c r="S15" s="72">
        <f>'[1]Admin by Month'!R15+'[1]Membership by Month'!R15+'[1]Education by Month'!R15</f>
        <v>6339.5</v>
      </c>
      <c r="T15" s="72">
        <f>'[1]Admin by Month'!S15+'[1]Membership by Month'!S15+'[1]Education by Month'!S15</f>
        <v>6339.5</v>
      </c>
      <c r="U15" s="72">
        <f>'[1]Admin by Month'!T15+'[1]Membership by Month'!T15+'[1]Education by Month'!T15</f>
        <v>6339.5</v>
      </c>
      <c r="V15" s="72">
        <f>'[1]Admin by Month'!U15+'[1]Membership by Month'!U15+'[1]Education by Month'!U15</f>
        <v>6339.5</v>
      </c>
      <c r="W15" s="72">
        <f t="shared" si="1"/>
        <v>76074</v>
      </c>
      <c r="Y15" s="74">
        <f t="shared" si="2"/>
        <v>0</v>
      </c>
    </row>
    <row r="16" spans="1:25" x14ac:dyDescent="0.35">
      <c r="A16" s="4" t="s">
        <v>185</v>
      </c>
      <c r="B16" s="16" t="s">
        <v>236</v>
      </c>
      <c r="C16" s="72"/>
      <c r="D16" s="75">
        <v>27720</v>
      </c>
      <c r="E16" s="72"/>
      <c r="F16" s="72">
        <f t="shared" si="0"/>
        <v>27720</v>
      </c>
      <c r="K16" s="72">
        <f>'[1]Admin by Month'!J16+'[1]Membership by Month'!J16+'[1]Education by Month'!J16</f>
        <v>2310</v>
      </c>
      <c r="L16" s="72">
        <f>'[1]Admin by Month'!K16+'[1]Membership by Month'!K16+'[1]Education by Month'!K16</f>
        <v>2310</v>
      </c>
      <c r="M16" s="72">
        <f>'[1]Admin by Month'!L16+'[1]Membership by Month'!L16+'[1]Education by Month'!L16</f>
        <v>2310</v>
      </c>
      <c r="N16" s="72">
        <f>'[1]Admin by Month'!M16+'[1]Membership by Month'!M16+'[1]Education by Month'!M16</f>
        <v>2310</v>
      </c>
      <c r="O16" s="72">
        <f>'[1]Admin by Month'!N16+'[1]Membership by Month'!N16+'[1]Education by Month'!N16</f>
        <v>2310</v>
      </c>
      <c r="P16" s="72">
        <f>'[1]Admin by Month'!O16+'[1]Membership by Month'!O16+'[1]Education by Month'!O16</f>
        <v>2310</v>
      </c>
      <c r="Q16" s="72">
        <f>'[1]Admin by Month'!P16+'[1]Membership by Month'!P16+'[1]Education by Month'!P16</f>
        <v>2310</v>
      </c>
      <c r="R16" s="72">
        <f>'[1]Admin by Month'!Q16+'[1]Membership by Month'!Q16+'[1]Education by Month'!Q16</f>
        <v>2310</v>
      </c>
      <c r="S16" s="72">
        <f>'[1]Admin by Month'!R16+'[1]Membership by Month'!R16+'[1]Education by Month'!R16</f>
        <v>2310</v>
      </c>
      <c r="T16" s="72">
        <f>'[1]Admin by Month'!S16+'[1]Membership by Month'!S16+'[1]Education by Month'!S16</f>
        <v>2310</v>
      </c>
      <c r="U16" s="72">
        <f>'[1]Admin by Month'!T16+'[1]Membership by Month'!T16+'[1]Education by Month'!T16</f>
        <v>2310</v>
      </c>
      <c r="V16" s="72">
        <f>'[1]Admin by Month'!U16+'[1]Membership by Month'!U16+'[1]Education by Month'!U16</f>
        <v>2310</v>
      </c>
      <c r="W16" s="72">
        <f t="shared" si="1"/>
        <v>27720</v>
      </c>
      <c r="Y16" s="74">
        <f t="shared" si="2"/>
        <v>0</v>
      </c>
    </row>
    <row r="17" spans="1:25" x14ac:dyDescent="0.35">
      <c r="B17" s="16" t="s">
        <v>237</v>
      </c>
      <c r="C17" s="76">
        <f>SUM(C7:C16)</f>
        <v>0</v>
      </c>
      <c r="D17" s="76">
        <f t="shared" ref="D17:F17" si="3">SUM(D7:D16)</f>
        <v>487234</v>
      </c>
      <c r="E17" s="76">
        <f t="shared" si="3"/>
        <v>0</v>
      </c>
      <c r="F17" s="76">
        <f t="shared" si="3"/>
        <v>487234</v>
      </c>
      <c r="G17" s="3">
        <v>487234</v>
      </c>
      <c r="H17" s="3">
        <f>F17-G17</f>
        <v>0</v>
      </c>
      <c r="K17" s="76">
        <f t="shared" ref="K17:W17" si="4">SUM(K7:K16)</f>
        <v>40602.833333333328</v>
      </c>
      <c r="L17" s="76">
        <f t="shared" si="4"/>
        <v>40602.833333333328</v>
      </c>
      <c r="M17" s="76">
        <f t="shared" si="4"/>
        <v>40602.833333333328</v>
      </c>
      <c r="N17" s="76">
        <f t="shared" si="4"/>
        <v>40602.833333333328</v>
      </c>
      <c r="O17" s="76">
        <f t="shared" si="4"/>
        <v>40602.833333333328</v>
      </c>
      <c r="P17" s="76">
        <f t="shared" si="4"/>
        <v>40602.833333333328</v>
      </c>
      <c r="Q17" s="76">
        <f t="shared" si="4"/>
        <v>40602.833333333328</v>
      </c>
      <c r="R17" s="76">
        <f t="shared" si="4"/>
        <v>40602.833333333328</v>
      </c>
      <c r="S17" s="76">
        <f t="shared" si="4"/>
        <v>40602.833333333328</v>
      </c>
      <c r="T17" s="76">
        <f t="shared" si="4"/>
        <v>40602.833333333328</v>
      </c>
      <c r="U17" s="76">
        <f t="shared" si="4"/>
        <v>40602.833333333328</v>
      </c>
      <c r="V17" s="76">
        <f t="shared" si="4"/>
        <v>40602.833333333328</v>
      </c>
      <c r="W17" s="76">
        <f t="shared" si="4"/>
        <v>487234</v>
      </c>
      <c r="Y17" s="74">
        <f t="shared" si="2"/>
        <v>0</v>
      </c>
    </row>
    <row r="18" spans="1:25" x14ac:dyDescent="0.35">
      <c r="B18" s="16" t="s">
        <v>238</v>
      </c>
      <c r="C18" s="71"/>
      <c r="D18" s="71"/>
      <c r="E18" s="71"/>
      <c r="F18" s="72">
        <f t="shared" si="0"/>
        <v>0</v>
      </c>
      <c r="K18" s="71"/>
      <c r="L18" s="71"/>
      <c r="M18" s="71"/>
      <c r="N18" s="72"/>
      <c r="O18" s="71"/>
      <c r="P18" s="71"/>
      <c r="Q18" s="71"/>
      <c r="R18" s="72"/>
      <c r="S18" s="71"/>
      <c r="T18" s="71"/>
      <c r="U18" s="71"/>
      <c r="V18" s="72"/>
      <c r="W18" s="71"/>
      <c r="Y18" s="74">
        <f t="shared" si="2"/>
        <v>0</v>
      </c>
    </row>
    <row r="19" spans="1:25" x14ac:dyDescent="0.35">
      <c r="A19" s="4" t="s">
        <v>186</v>
      </c>
      <c r="B19" s="16" t="s">
        <v>239</v>
      </c>
      <c r="C19" s="71"/>
      <c r="D19" s="71"/>
      <c r="E19" s="71"/>
      <c r="F19" s="72">
        <f t="shared" si="0"/>
        <v>0</v>
      </c>
      <c r="K19" s="72">
        <f>'[1]Admin by Month'!J19+'[1]Membership by Month'!J19+'[1]Education by Month'!J19</f>
        <v>0</v>
      </c>
      <c r="L19" s="72">
        <f>'[1]Admin by Month'!K19+'[1]Membership by Month'!K19+'[1]Education by Month'!K19</f>
        <v>0</v>
      </c>
      <c r="M19" s="72">
        <f>'[1]Admin by Month'!L19+'[1]Membership by Month'!L19+'[1]Education by Month'!L19</f>
        <v>0</v>
      </c>
      <c r="N19" s="72">
        <f>'[1]Admin by Month'!M19+'[1]Membership by Month'!M19+'[1]Education by Month'!M19</f>
        <v>0</v>
      </c>
      <c r="O19" s="72">
        <f>'[1]Admin by Month'!N19+'[1]Membership by Month'!N19+'[1]Education by Month'!N19</f>
        <v>0</v>
      </c>
      <c r="P19" s="72">
        <f>'[1]Admin by Month'!O19+'[1]Membership by Month'!O19+'[1]Education by Month'!O19</f>
        <v>0</v>
      </c>
      <c r="Q19" s="72">
        <f>'[1]Admin by Month'!P19+'[1]Membership by Month'!P19+'[1]Education by Month'!P19</f>
        <v>0</v>
      </c>
      <c r="R19" s="72">
        <f>'[1]Admin by Month'!Q19+'[1]Membership by Month'!Q19+'[1]Education by Month'!Q19</f>
        <v>0</v>
      </c>
      <c r="S19" s="72">
        <f>'[1]Admin by Month'!R19+'[1]Membership by Month'!R19+'[1]Education by Month'!R19</f>
        <v>0</v>
      </c>
      <c r="T19" s="72">
        <f>'[1]Admin by Month'!S19+'[1]Membership by Month'!S19+'[1]Education by Month'!S19</f>
        <v>0</v>
      </c>
      <c r="U19" s="72">
        <f>'[1]Admin by Month'!T19+'[1]Membership by Month'!T19+'[1]Education by Month'!T19</f>
        <v>0</v>
      </c>
      <c r="V19" s="72">
        <f>'[1]Admin by Month'!U19+'[1]Membership by Month'!U19+'[1]Education by Month'!U19</f>
        <v>0</v>
      </c>
      <c r="W19" s="72">
        <f t="shared" ref="W19:W21" si="5">SUM(K19:V19)</f>
        <v>0</v>
      </c>
      <c r="Y19" s="74">
        <f t="shared" si="2"/>
        <v>0</v>
      </c>
    </row>
    <row r="20" spans="1:25" x14ac:dyDescent="0.35">
      <c r="A20" s="4" t="s">
        <v>186</v>
      </c>
      <c r="B20" s="16" t="s">
        <v>240</v>
      </c>
      <c r="C20" s="71"/>
      <c r="D20" s="71"/>
      <c r="E20" s="73">
        <v>65163</v>
      </c>
      <c r="F20" s="72">
        <f t="shared" si="0"/>
        <v>65163</v>
      </c>
      <c r="K20" s="72">
        <f>'[1]Admin by Month'!J20+'[1]Membership by Month'!J20+'[1]Education by Month'!J20</f>
        <v>0</v>
      </c>
      <c r="L20" s="72">
        <f>'[1]Admin by Month'!K20+'[1]Membership by Month'!K20+'[1]Education by Month'!K20</f>
        <v>0</v>
      </c>
      <c r="M20" s="72">
        <f>'[1]Admin by Month'!L20+'[1]Membership by Month'!L20+'[1]Education by Month'!L20</f>
        <v>0</v>
      </c>
      <c r="N20" s="72">
        <f>'[1]Admin by Month'!M20+'[1]Membership by Month'!M20+'[1]Education by Month'!M20</f>
        <v>0</v>
      </c>
      <c r="O20" s="72">
        <f>'[1]Admin by Month'!N20+'[1]Membership by Month'!N20+'[1]Education by Month'!N20</f>
        <v>0</v>
      </c>
      <c r="P20" s="72">
        <f>'[1]Admin by Month'!O20+'[1]Membership by Month'!O20+'[1]Education by Month'!O20</f>
        <v>0</v>
      </c>
      <c r="Q20" s="72">
        <f>'[1]Admin by Month'!P20+'[1]Membership by Month'!P20+'[1]Education by Month'!P20</f>
        <v>0</v>
      </c>
      <c r="R20" s="72">
        <f>'[1]Admin by Month'!Q20+'[1]Membership by Month'!Q20+'[1]Education by Month'!Q20</f>
        <v>0</v>
      </c>
      <c r="S20" s="72">
        <f>'[1]Admin by Month'!R20+'[1]Membership by Month'!R20+'[1]Education by Month'!R20</f>
        <v>0</v>
      </c>
      <c r="T20" s="72">
        <f>'[1]Admin by Month'!S20+'[1]Membership by Month'!S20+'[1]Education by Month'!S20</f>
        <v>65163</v>
      </c>
      <c r="U20" s="72">
        <f>'[1]Admin by Month'!T20+'[1]Membership by Month'!T20+'[1]Education by Month'!T20</f>
        <v>0</v>
      </c>
      <c r="V20" s="72">
        <f>'[1]Admin by Month'!U20+'[1]Membership by Month'!U20+'[1]Education by Month'!U20</f>
        <v>0</v>
      </c>
      <c r="W20" s="72">
        <f t="shared" si="5"/>
        <v>65163</v>
      </c>
      <c r="Y20" s="74">
        <f t="shared" si="2"/>
        <v>0</v>
      </c>
    </row>
    <row r="21" spans="1:25" x14ac:dyDescent="0.35">
      <c r="A21" s="4" t="s">
        <v>186</v>
      </c>
      <c r="B21" s="16" t="s">
        <v>241</v>
      </c>
      <c r="C21" s="71"/>
      <c r="D21" s="71"/>
      <c r="E21" s="75">
        <v>26560</v>
      </c>
      <c r="F21" s="72">
        <f t="shared" si="0"/>
        <v>26560</v>
      </c>
      <c r="K21" s="72">
        <f>'[1]Admin by Month'!J21+'[1]Membership by Month'!J21+'[1]Education by Month'!J21</f>
        <v>0</v>
      </c>
      <c r="L21" s="72">
        <f>'[1]Admin by Month'!K21+'[1]Membership by Month'!K21+'[1]Education by Month'!K21</f>
        <v>0</v>
      </c>
      <c r="M21" s="72">
        <f>'[1]Admin by Month'!L21+'[1]Membership by Month'!L21+'[1]Education by Month'!L21</f>
        <v>0</v>
      </c>
      <c r="N21" s="72">
        <f>'[1]Admin by Month'!M21+'[1]Membership by Month'!M21+'[1]Education by Month'!M21</f>
        <v>0</v>
      </c>
      <c r="O21" s="72">
        <f>'[1]Admin by Month'!N21+'[1]Membership by Month'!N21+'[1]Education by Month'!N21</f>
        <v>0</v>
      </c>
      <c r="P21" s="72">
        <f>'[1]Admin by Month'!O21+'[1]Membership by Month'!O21+'[1]Education by Month'!O21</f>
        <v>0</v>
      </c>
      <c r="Q21" s="72">
        <f>'[1]Admin by Month'!P21+'[1]Membership by Month'!P21+'[1]Education by Month'!P21</f>
        <v>0</v>
      </c>
      <c r="R21" s="72">
        <f>'[1]Admin by Month'!Q21+'[1]Membership by Month'!Q21+'[1]Education by Month'!Q21</f>
        <v>0</v>
      </c>
      <c r="S21" s="72">
        <f>'[1]Admin by Month'!R21+'[1]Membership by Month'!R21+'[1]Education by Month'!R21</f>
        <v>0</v>
      </c>
      <c r="T21" s="72">
        <f>'[1]Admin by Month'!S21+'[1]Membership by Month'!S21+'[1]Education by Month'!S21</f>
        <v>26560</v>
      </c>
      <c r="U21" s="72">
        <f>'[1]Admin by Month'!T21+'[1]Membership by Month'!T21+'[1]Education by Month'!T21</f>
        <v>0</v>
      </c>
      <c r="V21" s="72">
        <f>'[1]Admin by Month'!U21+'[1]Membership by Month'!U21+'[1]Education by Month'!U21</f>
        <v>0</v>
      </c>
      <c r="W21" s="72">
        <f t="shared" si="5"/>
        <v>26560</v>
      </c>
      <c r="Y21" s="74">
        <f t="shared" si="2"/>
        <v>0</v>
      </c>
    </row>
    <row r="22" spans="1:25" x14ac:dyDescent="0.35">
      <c r="A22" s="4"/>
      <c r="B22" s="16" t="s">
        <v>242</v>
      </c>
      <c r="C22" s="77">
        <f>SUM(C19:C21)</f>
        <v>0</v>
      </c>
      <c r="D22" s="77">
        <f t="shared" ref="D22:F22" si="6">SUM(D19:D21)</f>
        <v>0</v>
      </c>
      <c r="E22" s="77">
        <f t="shared" si="6"/>
        <v>91723</v>
      </c>
      <c r="F22" s="77">
        <f t="shared" si="6"/>
        <v>91723</v>
      </c>
      <c r="G22" s="3">
        <v>91723</v>
      </c>
      <c r="H22" s="3">
        <f>F22-G22</f>
        <v>0</v>
      </c>
      <c r="K22" s="77">
        <f t="shared" ref="K22:W22" si="7">SUM(K19:K21)</f>
        <v>0</v>
      </c>
      <c r="L22" s="77">
        <f t="shared" si="7"/>
        <v>0</v>
      </c>
      <c r="M22" s="77">
        <f t="shared" si="7"/>
        <v>0</v>
      </c>
      <c r="N22" s="77">
        <f t="shared" si="7"/>
        <v>0</v>
      </c>
      <c r="O22" s="77">
        <f t="shared" si="7"/>
        <v>0</v>
      </c>
      <c r="P22" s="77">
        <f t="shared" si="7"/>
        <v>0</v>
      </c>
      <c r="Q22" s="77">
        <f t="shared" si="7"/>
        <v>0</v>
      </c>
      <c r="R22" s="77">
        <f t="shared" si="7"/>
        <v>0</v>
      </c>
      <c r="S22" s="77">
        <f t="shared" si="7"/>
        <v>0</v>
      </c>
      <c r="T22" s="77">
        <f t="shared" si="7"/>
        <v>91723</v>
      </c>
      <c r="U22" s="77">
        <f t="shared" si="7"/>
        <v>0</v>
      </c>
      <c r="V22" s="77">
        <f t="shared" si="7"/>
        <v>0</v>
      </c>
      <c r="W22" s="77">
        <f t="shared" si="7"/>
        <v>91723</v>
      </c>
      <c r="Y22" s="74">
        <f t="shared" si="2"/>
        <v>0</v>
      </c>
    </row>
    <row r="23" spans="1:25" x14ac:dyDescent="0.35">
      <c r="A23" t="s">
        <v>219</v>
      </c>
      <c r="B23" s="16" t="s">
        <v>222</v>
      </c>
      <c r="C23" s="78"/>
      <c r="D23" s="78"/>
      <c r="E23" s="78"/>
      <c r="F23" s="79">
        <f t="shared" ref="F23:F25" si="8">SUM(C23:E23)</f>
        <v>0</v>
      </c>
      <c r="K23" s="79">
        <f t="shared" ref="K23:W23" si="9">SUM(H23:J23)</f>
        <v>0</v>
      </c>
      <c r="L23" s="79">
        <f t="shared" si="9"/>
        <v>0</v>
      </c>
      <c r="M23" s="79">
        <f t="shared" si="9"/>
        <v>0</v>
      </c>
      <c r="N23" s="79">
        <f t="shared" si="9"/>
        <v>0</v>
      </c>
      <c r="O23" s="79">
        <f t="shared" si="9"/>
        <v>0</v>
      </c>
      <c r="P23" s="79">
        <f t="shared" si="9"/>
        <v>0</v>
      </c>
      <c r="Q23" s="79">
        <f t="shared" si="9"/>
        <v>0</v>
      </c>
      <c r="R23" s="79">
        <f t="shared" si="9"/>
        <v>0</v>
      </c>
      <c r="S23" s="79">
        <f t="shared" si="9"/>
        <v>0</v>
      </c>
      <c r="T23" s="79">
        <f t="shared" si="9"/>
        <v>0</v>
      </c>
      <c r="U23" s="79">
        <f t="shared" si="9"/>
        <v>0</v>
      </c>
      <c r="V23" s="79">
        <f t="shared" si="9"/>
        <v>0</v>
      </c>
      <c r="W23" s="79">
        <f t="shared" si="9"/>
        <v>0</v>
      </c>
      <c r="Y23" s="74">
        <f t="shared" si="2"/>
        <v>0</v>
      </c>
    </row>
    <row r="24" spans="1:25" x14ac:dyDescent="0.35">
      <c r="A24" t="s">
        <v>219</v>
      </c>
      <c r="B24" s="16" t="s">
        <v>243</v>
      </c>
      <c r="C24" s="72"/>
      <c r="D24" s="72"/>
      <c r="E24" s="75">
        <v>65840.5</v>
      </c>
      <c r="F24" s="72">
        <f t="shared" si="8"/>
        <v>65840.5</v>
      </c>
      <c r="K24" s="72">
        <f>'[1]Admin by Month'!J24+'[1]Membership by Month'!J24+'[1]Education by Month'!J24</f>
        <v>331.45833340000001</v>
      </c>
      <c r="L24" s="72">
        <f>'[1]Admin by Month'!K24+'[1]Membership by Month'!K24+'[1]Education by Month'!K24</f>
        <v>7911.4583333999999</v>
      </c>
      <c r="M24" s="72">
        <f>'[1]Admin by Month'!L24+'[1]Membership by Month'!L24+'[1]Education by Month'!L24</f>
        <v>331.45833340000001</v>
      </c>
      <c r="N24" s="72">
        <f>'[1]Admin by Month'!M24+'[1]Membership by Month'!M24+'[1]Education by Month'!M24</f>
        <v>331.45833340000001</v>
      </c>
      <c r="O24" s="72">
        <f>'[1]Admin by Month'!N24+'[1]Membership by Month'!N24+'[1]Education by Month'!N24</f>
        <v>7269.4583333999999</v>
      </c>
      <c r="P24" s="72">
        <f>'[1]Admin by Month'!O24+'[1]Membership by Month'!O24+'[1]Education by Month'!O24</f>
        <v>5056.4583333999999</v>
      </c>
      <c r="Q24" s="72">
        <f>'[1]Admin by Month'!P24+'[1]Membership by Month'!P24+'[1]Education by Month'!P24</f>
        <v>5796.4583333999999</v>
      </c>
      <c r="R24" s="72">
        <f>'[1]Admin by Month'!Q24+'[1]Membership by Month'!Q24+'[1]Education by Month'!Q24</f>
        <v>33456.458333399998</v>
      </c>
      <c r="S24" s="72">
        <f>'[1]Admin by Month'!R24+'[1]Membership by Month'!R24+'[1]Education by Month'!R24</f>
        <v>2131.4583333999999</v>
      </c>
      <c r="T24" s="72">
        <f>'[1]Admin by Month'!S24+'[1]Membership by Month'!S24+'[1]Education by Month'!S24</f>
        <v>331.45833340000001</v>
      </c>
      <c r="U24" s="72">
        <f>'[1]Admin by Month'!T24+'[1]Membership by Month'!T24+'[1]Education by Month'!T24</f>
        <v>2561.4583333999999</v>
      </c>
      <c r="V24" s="72">
        <f>'[1]Admin by Month'!U24+'[1]Membership by Month'!U24+'[1]Education by Month'!U24</f>
        <v>331.45833340000001</v>
      </c>
      <c r="W24" s="72">
        <f t="shared" ref="W24:W25" si="10">SUM(K24:V24)</f>
        <v>65840.500000799992</v>
      </c>
      <c r="Y24" s="74">
        <f t="shared" si="2"/>
        <v>-7.9999153967946768E-7</v>
      </c>
    </row>
    <row r="25" spans="1:25" x14ac:dyDescent="0.35">
      <c r="A25" t="s">
        <v>219</v>
      </c>
      <c r="B25" s="16" t="s">
        <v>308</v>
      </c>
      <c r="C25" s="73"/>
      <c r="D25" s="73">
        <v>0</v>
      </c>
      <c r="E25" s="73">
        <v>1000</v>
      </c>
      <c r="F25" s="72">
        <f t="shared" si="8"/>
        <v>1000</v>
      </c>
      <c r="K25" s="72">
        <f>'[1]Admin by Month'!J25+'[1]Membership by Month'!J25+'[1]Education by Month'!J25</f>
        <v>0</v>
      </c>
      <c r="L25" s="72">
        <f>'[1]Admin by Month'!K25+'[1]Membership by Month'!K25+'[1]Education by Month'!K25</f>
        <v>0</v>
      </c>
      <c r="M25" s="72">
        <f>'[1]Admin by Month'!L25+'[1]Membership by Month'!L25+'[1]Education by Month'!L25</f>
        <v>0</v>
      </c>
      <c r="N25" s="72">
        <f>'[1]Admin by Month'!M25+'[1]Membership by Month'!M25+'[1]Education by Month'!M25</f>
        <v>0</v>
      </c>
      <c r="O25" s="72">
        <f>'[1]Admin by Month'!N25+'[1]Membership by Month'!N25+'[1]Education by Month'!N25</f>
        <v>0</v>
      </c>
      <c r="P25" s="72">
        <f>'[1]Admin by Month'!O25+'[1]Membership by Month'!O25+'[1]Education by Month'!O25</f>
        <v>0</v>
      </c>
      <c r="Q25" s="72">
        <f>'[1]Admin by Month'!P25+'[1]Membership by Month'!P25+'[1]Education by Month'!P25</f>
        <v>1000</v>
      </c>
      <c r="R25" s="72">
        <f>'[1]Admin by Month'!Q25+'[1]Membership by Month'!Q25+'[1]Education by Month'!Q25</f>
        <v>0</v>
      </c>
      <c r="S25" s="72">
        <f>'[1]Admin by Month'!R25+'[1]Membership by Month'!R25+'[1]Education by Month'!R25</f>
        <v>0</v>
      </c>
      <c r="T25" s="72">
        <f>'[1]Admin by Month'!S25+'[1]Membership by Month'!S25+'[1]Education by Month'!S25</f>
        <v>0</v>
      </c>
      <c r="U25" s="72">
        <f>'[1]Admin by Month'!T25+'[1]Membership by Month'!T25+'[1]Education by Month'!T25</f>
        <v>0</v>
      </c>
      <c r="V25" s="72">
        <f>'[1]Admin by Month'!U25+'[1]Membership by Month'!U25+'[1]Education by Month'!U25</f>
        <v>0</v>
      </c>
      <c r="W25" s="72">
        <f t="shared" si="10"/>
        <v>1000</v>
      </c>
      <c r="Y25" s="74">
        <f t="shared" si="2"/>
        <v>0</v>
      </c>
    </row>
    <row r="26" spans="1:25" x14ac:dyDescent="0.35">
      <c r="B26" s="16" t="s">
        <v>223</v>
      </c>
      <c r="C26" s="76">
        <f>SUM(C23:C25)</f>
        <v>0</v>
      </c>
      <c r="D26" s="76">
        <f t="shared" ref="D26:E26" si="11">SUM(D23:D25)</f>
        <v>0</v>
      </c>
      <c r="E26" s="76">
        <f t="shared" si="11"/>
        <v>66840.5</v>
      </c>
      <c r="F26" s="76">
        <f>SUM(F23:F25)</f>
        <v>66840.5</v>
      </c>
      <c r="G26" s="3">
        <v>65840.5</v>
      </c>
      <c r="H26" s="3">
        <f>F26-G26</f>
        <v>1000</v>
      </c>
      <c r="I26" t="s">
        <v>309</v>
      </c>
      <c r="K26" s="76">
        <f t="shared" ref="K26:W26" si="12">SUM(K23:K25)</f>
        <v>331.45833340000001</v>
      </c>
      <c r="L26" s="76">
        <f t="shared" si="12"/>
        <v>7911.4583333999999</v>
      </c>
      <c r="M26" s="76">
        <f t="shared" si="12"/>
        <v>331.45833340000001</v>
      </c>
      <c r="N26" s="76">
        <f t="shared" si="12"/>
        <v>331.45833340000001</v>
      </c>
      <c r="O26" s="76">
        <f t="shared" si="12"/>
        <v>7269.4583333999999</v>
      </c>
      <c r="P26" s="76">
        <f t="shared" si="12"/>
        <v>5056.4583333999999</v>
      </c>
      <c r="Q26" s="76">
        <f t="shared" si="12"/>
        <v>6796.4583333999999</v>
      </c>
      <c r="R26" s="76">
        <f t="shared" si="12"/>
        <v>33456.458333399998</v>
      </c>
      <c r="S26" s="76">
        <f t="shared" si="12"/>
        <v>2131.4583333999999</v>
      </c>
      <c r="T26" s="76">
        <f t="shared" si="12"/>
        <v>331.45833340000001</v>
      </c>
      <c r="U26" s="76">
        <f t="shared" si="12"/>
        <v>2561.4583333999999</v>
      </c>
      <c r="V26" s="76">
        <f t="shared" si="12"/>
        <v>331.45833340000001</v>
      </c>
      <c r="W26" s="76">
        <f t="shared" si="12"/>
        <v>66840.500000799992</v>
      </c>
      <c r="Y26" s="74">
        <f t="shared" si="2"/>
        <v>-7.9999153967946768E-7</v>
      </c>
    </row>
    <row r="27" spans="1:25" x14ac:dyDescent="0.35">
      <c r="B27" s="16" t="s">
        <v>244</v>
      </c>
      <c r="C27" s="76">
        <f>SUM(C22,C26)</f>
        <v>0</v>
      </c>
      <c r="D27" s="76">
        <f t="shared" ref="D27:F27" si="13">SUM(D22,D26)</f>
        <v>0</v>
      </c>
      <c r="E27" s="76">
        <f t="shared" si="13"/>
        <v>158563.5</v>
      </c>
      <c r="F27" s="76">
        <f t="shared" si="13"/>
        <v>158563.5</v>
      </c>
      <c r="G27" s="3">
        <v>157563.5</v>
      </c>
      <c r="H27" s="3">
        <f>F27-G27</f>
        <v>1000</v>
      </c>
      <c r="K27" s="76">
        <f t="shared" ref="K27:W27" si="14">SUM(K22,K26)</f>
        <v>331.45833340000001</v>
      </c>
      <c r="L27" s="76">
        <f t="shared" si="14"/>
        <v>7911.4583333999999</v>
      </c>
      <c r="M27" s="76">
        <f t="shared" si="14"/>
        <v>331.45833340000001</v>
      </c>
      <c r="N27" s="76">
        <f t="shared" si="14"/>
        <v>331.45833340000001</v>
      </c>
      <c r="O27" s="76">
        <f t="shared" si="14"/>
        <v>7269.4583333999999</v>
      </c>
      <c r="P27" s="76">
        <f t="shared" si="14"/>
        <v>5056.4583333999999</v>
      </c>
      <c r="Q27" s="76">
        <f t="shared" si="14"/>
        <v>6796.4583333999999</v>
      </c>
      <c r="R27" s="76">
        <f t="shared" si="14"/>
        <v>33456.458333399998</v>
      </c>
      <c r="S27" s="76">
        <f t="shared" si="14"/>
        <v>2131.4583333999999</v>
      </c>
      <c r="T27" s="76">
        <f t="shared" si="14"/>
        <v>92054.458333400005</v>
      </c>
      <c r="U27" s="76">
        <f t="shared" si="14"/>
        <v>2561.4583333999999</v>
      </c>
      <c r="V27" s="76">
        <f t="shared" si="14"/>
        <v>331.45833340000001</v>
      </c>
      <c r="W27" s="76">
        <f t="shared" si="14"/>
        <v>158563.50000080001</v>
      </c>
      <c r="Y27" s="74">
        <f t="shared" si="2"/>
        <v>-8.0000609159469604E-7</v>
      </c>
    </row>
    <row r="28" spans="1:25" x14ac:dyDescent="0.35">
      <c r="A28" s="4" t="s">
        <v>178</v>
      </c>
      <c r="B28" s="16" t="s">
        <v>245</v>
      </c>
      <c r="C28" s="78"/>
      <c r="D28" s="78"/>
      <c r="E28" s="78"/>
      <c r="F28" s="79">
        <f t="shared" ref="F28:F33" si="15">SUM(C28:E28)</f>
        <v>0</v>
      </c>
      <c r="K28" s="78"/>
      <c r="L28" s="78"/>
      <c r="M28" s="78"/>
      <c r="N28" s="79"/>
      <c r="O28" s="78"/>
      <c r="P28" s="78"/>
      <c r="Q28" s="78"/>
      <c r="R28" s="79"/>
      <c r="S28" s="78"/>
      <c r="T28" s="78"/>
      <c r="U28" s="78"/>
      <c r="V28" s="79"/>
      <c r="W28" s="72">
        <f t="shared" ref="W28:W33" si="16">SUM(K28:V28)</f>
        <v>0</v>
      </c>
      <c r="Y28" s="74">
        <f t="shared" si="2"/>
        <v>0</v>
      </c>
    </row>
    <row r="29" spans="1:25" x14ac:dyDescent="0.35">
      <c r="A29" s="4" t="s">
        <v>178</v>
      </c>
      <c r="B29" s="16" t="s">
        <v>246</v>
      </c>
      <c r="C29" s="73">
        <v>1750</v>
      </c>
      <c r="D29" s="73">
        <v>0</v>
      </c>
      <c r="E29" s="73">
        <v>0</v>
      </c>
      <c r="F29" s="72">
        <f t="shared" si="15"/>
        <v>1750</v>
      </c>
      <c r="K29" s="72">
        <f>'[1]Admin by Month'!J29+'[1]Membership by Month'!J29+'[1]Education by Month'!J29</f>
        <v>145.83333333333334</v>
      </c>
      <c r="L29" s="72">
        <f>'[1]Admin by Month'!K29+'[1]Membership by Month'!K29+'[1]Education by Month'!K29</f>
        <v>145.83333333333334</v>
      </c>
      <c r="M29" s="72">
        <f>'[1]Admin by Month'!L29+'[1]Membership by Month'!L29+'[1]Education by Month'!L29</f>
        <v>145.83333333333334</v>
      </c>
      <c r="N29" s="72">
        <f>'[1]Admin by Month'!M29+'[1]Membership by Month'!M29+'[1]Education by Month'!M29</f>
        <v>145.83333333333334</v>
      </c>
      <c r="O29" s="72">
        <f>'[1]Admin by Month'!N29+'[1]Membership by Month'!N29+'[1]Education by Month'!N29</f>
        <v>145.83333333333334</v>
      </c>
      <c r="P29" s="72">
        <f>'[1]Admin by Month'!O29+'[1]Membership by Month'!O29+'[1]Education by Month'!O29</f>
        <v>145.83333333333334</v>
      </c>
      <c r="Q29" s="72">
        <f>'[1]Admin by Month'!P29+'[1]Membership by Month'!P29+'[1]Education by Month'!P29</f>
        <v>145.83333333333334</v>
      </c>
      <c r="R29" s="72">
        <f>'[1]Admin by Month'!Q29+'[1]Membership by Month'!Q29+'[1]Education by Month'!Q29</f>
        <v>145.83333333333334</v>
      </c>
      <c r="S29" s="72">
        <f>'[1]Admin by Month'!R29+'[1]Membership by Month'!R29+'[1]Education by Month'!R29</f>
        <v>145.83333333333334</v>
      </c>
      <c r="T29" s="72">
        <f>'[1]Admin by Month'!S29+'[1]Membership by Month'!S29+'[1]Education by Month'!S29</f>
        <v>145.83333333333334</v>
      </c>
      <c r="U29" s="72">
        <f>'[1]Admin by Month'!T29+'[1]Membership by Month'!T29+'[1]Education by Month'!T29</f>
        <v>145.83333333333334</v>
      </c>
      <c r="V29" s="72">
        <f>'[1]Admin by Month'!U29+'[1]Membership by Month'!U29+'[1]Education by Month'!U29</f>
        <v>145.83333333333334</v>
      </c>
      <c r="W29" s="72">
        <f t="shared" si="16"/>
        <v>1749.9999999999998</v>
      </c>
      <c r="Y29" s="74">
        <f t="shared" si="2"/>
        <v>0</v>
      </c>
    </row>
    <row r="30" spans="1:25" x14ac:dyDescent="0.35">
      <c r="A30" s="4" t="s">
        <v>178</v>
      </c>
      <c r="B30" s="16" t="s">
        <v>247</v>
      </c>
      <c r="C30" s="73">
        <v>1500</v>
      </c>
      <c r="D30" s="73">
        <v>0</v>
      </c>
      <c r="E30" s="73">
        <v>0</v>
      </c>
      <c r="F30" s="72">
        <f t="shared" si="15"/>
        <v>1500</v>
      </c>
      <c r="K30" s="72">
        <f>'[1]Admin by Month'!J30+'[1]Membership by Month'!J30+'[1]Education by Month'!J30</f>
        <v>125</v>
      </c>
      <c r="L30" s="72">
        <f>'[1]Admin by Month'!K30+'[1]Membership by Month'!K30+'[1]Education by Month'!K30</f>
        <v>125</v>
      </c>
      <c r="M30" s="72">
        <f>'[1]Admin by Month'!L30+'[1]Membership by Month'!L30+'[1]Education by Month'!L30</f>
        <v>125</v>
      </c>
      <c r="N30" s="72">
        <f>'[1]Admin by Month'!M30+'[1]Membership by Month'!M30+'[1]Education by Month'!M30</f>
        <v>125</v>
      </c>
      <c r="O30" s="72">
        <f>'[1]Admin by Month'!N30+'[1]Membership by Month'!N30+'[1]Education by Month'!N30</f>
        <v>125</v>
      </c>
      <c r="P30" s="72">
        <f>'[1]Admin by Month'!O30+'[1]Membership by Month'!O30+'[1]Education by Month'!O30</f>
        <v>125</v>
      </c>
      <c r="Q30" s="72">
        <f>'[1]Admin by Month'!P30+'[1]Membership by Month'!P30+'[1]Education by Month'!P30</f>
        <v>125</v>
      </c>
      <c r="R30" s="72">
        <f>'[1]Admin by Month'!Q30+'[1]Membership by Month'!Q30+'[1]Education by Month'!Q30</f>
        <v>125</v>
      </c>
      <c r="S30" s="72">
        <f>'[1]Admin by Month'!R30+'[1]Membership by Month'!R30+'[1]Education by Month'!R30</f>
        <v>125</v>
      </c>
      <c r="T30" s="72">
        <f>'[1]Admin by Month'!S30+'[1]Membership by Month'!S30+'[1]Education by Month'!S30</f>
        <v>125</v>
      </c>
      <c r="U30" s="72">
        <f>'[1]Admin by Month'!T30+'[1]Membership by Month'!T30+'[1]Education by Month'!T30</f>
        <v>125</v>
      </c>
      <c r="V30" s="72">
        <f>'[1]Admin by Month'!U30+'[1]Membership by Month'!U30+'[1]Education by Month'!U30</f>
        <v>125</v>
      </c>
      <c r="W30" s="72">
        <f t="shared" si="16"/>
        <v>1500</v>
      </c>
      <c r="Y30" s="74">
        <f t="shared" si="2"/>
        <v>0</v>
      </c>
    </row>
    <row r="31" spans="1:25" x14ac:dyDescent="0.35">
      <c r="A31" s="4" t="s">
        <v>178</v>
      </c>
      <c r="B31" s="16" t="s">
        <v>248</v>
      </c>
      <c r="C31" s="73">
        <v>150</v>
      </c>
      <c r="D31" s="73">
        <v>0</v>
      </c>
      <c r="E31" s="73">
        <v>0</v>
      </c>
      <c r="F31" s="72">
        <f t="shared" si="15"/>
        <v>150</v>
      </c>
      <c r="K31" s="72">
        <f>'[1]Admin by Month'!J31+'[1]Membership by Month'!J31+'[1]Education by Month'!J31</f>
        <v>12.5</v>
      </c>
      <c r="L31" s="72">
        <f>'[1]Admin by Month'!K31+'[1]Membership by Month'!K31+'[1]Education by Month'!K31</f>
        <v>12.5</v>
      </c>
      <c r="M31" s="72">
        <f>'[1]Admin by Month'!L31+'[1]Membership by Month'!L31+'[1]Education by Month'!L31</f>
        <v>12.5</v>
      </c>
      <c r="N31" s="72">
        <f>'[1]Admin by Month'!M31+'[1]Membership by Month'!M31+'[1]Education by Month'!M31</f>
        <v>12.5</v>
      </c>
      <c r="O31" s="72">
        <f>'[1]Admin by Month'!N31+'[1]Membership by Month'!N31+'[1]Education by Month'!N31</f>
        <v>12.5</v>
      </c>
      <c r="P31" s="72">
        <f>'[1]Admin by Month'!O31+'[1]Membership by Month'!O31+'[1]Education by Month'!O31</f>
        <v>12.5</v>
      </c>
      <c r="Q31" s="72">
        <f>'[1]Admin by Month'!P31+'[1]Membership by Month'!P31+'[1]Education by Month'!P31</f>
        <v>12.5</v>
      </c>
      <c r="R31" s="72">
        <f>'[1]Admin by Month'!Q31+'[1]Membership by Month'!Q31+'[1]Education by Month'!Q31</f>
        <v>12.5</v>
      </c>
      <c r="S31" s="72">
        <f>'[1]Admin by Month'!R31+'[1]Membership by Month'!R31+'[1]Education by Month'!R31</f>
        <v>12.5</v>
      </c>
      <c r="T31" s="72">
        <f>'[1]Admin by Month'!S31+'[1]Membership by Month'!S31+'[1]Education by Month'!S31</f>
        <v>12.5</v>
      </c>
      <c r="U31" s="72">
        <f>'[1]Admin by Month'!T31+'[1]Membership by Month'!T31+'[1]Education by Month'!T31</f>
        <v>12.5</v>
      </c>
      <c r="V31" s="72">
        <f>'[1]Admin by Month'!U31+'[1]Membership by Month'!U31+'[1]Education by Month'!U31</f>
        <v>12.5</v>
      </c>
      <c r="W31" s="72">
        <f t="shared" si="16"/>
        <v>150</v>
      </c>
      <c r="Y31" s="74">
        <f t="shared" si="2"/>
        <v>0</v>
      </c>
    </row>
    <row r="32" spans="1:25" x14ac:dyDescent="0.35">
      <c r="A32" s="4" t="s">
        <v>178</v>
      </c>
      <c r="B32" s="16" t="s">
        <v>249</v>
      </c>
      <c r="C32" s="75">
        <v>3500</v>
      </c>
      <c r="D32" s="75"/>
      <c r="E32" s="75"/>
      <c r="F32" s="79">
        <f t="shared" si="15"/>
        <v>3500</v>
      </c>
      <c r="K32" s="72">
        <f>'[1]Admin by Month'!J32+'[1]Membership by Month'!J32+'[1]Education by Month'!J32</f>
        <v>0</v>
      </c>
      <c r="L32" s="72">
        <f>'[1]Admin by Month'!K32+'[1]Membership by Month'!K32+'[1]Education by Month'!K32</f>
        <v>0</v>
      </c>
      <c r="M32" s="72">
        <f>'[1]Admin by Month'!L32+'[1]Membership by Month'!L32+'[1]Education by Month'!L32</f>
        <v>0</v>
      </c>
      <c r="N32" s="72">
        <f>'[1]Admin by Month'!M32+'[1]Membership by Month'!M32+'[1]Education by Month'!M32</f>
        <v>0</v>
      </c>
      <c r="O32" s="72">
        <f>'[1]Admin by Month'!N32+'[1]Membership by Month'!N32+'[1]Education by Month'!N32</f>
        <v>0</v>
      </c>
      <c r="P32" s="72">
        <f>'[1]Admin by Month'!O32+'[1]Membership by Month'!O32+'[1]Education by Month'!O32</f>
        <v>0</v>
      </c>
      <c r="Q32" s="72">
        <f>'[1]Admin by Month'!P32+'[1]Membership by Month'!P32+'[1]Education by Month'!P32</f>
        <v>0</v>
      </c>
      <c r="R32" s="72">
        <f>'[1]Admin by Month'!Q32+'[1]Membership by Month'!Q32+'[1]Education by Month'!Q32</f>
        <v>0</v>
      </c>
      <c r="S32" s="72">
        <f>'[1]Admin by Month'!R32+'[1]Membership by Month'!R32+'[1]Education by Month'!R32</f>
        <v>0</v>
      </c>
      <c r="T32" s="72">
        <f>'[1]Admin by Month'!S32+'[1]Membership by Month'!S32+'[1]Education by Month'!S32</f>
        <v>0</v>
      </c>
      <c r="U32" s="72">
        <f>'[1]Admin by Month'!T32+'[1]Membership by Month'!T32+'[1]Education by Month'!T32</f>
        <v>0</v>
      </c>
      <c r="V32" s="72">
        <f>'[1]Admin by Month'!U32+'[1]Membership by Month'!U32+'[1]Education by Month'!U32</f>
        <v>3500</v>
      </c>
      <c r="W32" s="72">
        <f t="shared" si="16"/>
        <v>3500</v>
      </c>
      <c r="Y32" s="74">
        <f t="shared" si="2"/>
        <v>0</v>
      </c>
    </row>
    <row r="33" spans="1:25" x14ac:dyDescent="0.35">
      <c r="A33" s="4" t="s">
        <v>178</v>
      </c>
      <c r="B33" s="16" t="s">
        <v>250</v>
      </c>
      <c r="C33" s="73">
        <v>5500</v>
      </c>
      <c r="D33" s="73"/>
      <c r="E33" s="73">
        <v>0</v>
      </c>
      <c r="F33" s="72">
        <f t="shared" si="15"/>
        <v>5500</v>
      </c>
      <c r="K33" s="72">
        <f>'[1]Admin by Month'!J33+'[1]Membership by Month'!J33+'[1]Education by Month'!J33</f>
        <v>0</v>
      </c>
      <c r="L33" s="72">
        <f>'[1]Admin by Month'!K33+'[1]Membership by Month'!K33+'[1]Education by Month'!K33</f>
        <v>0</v>
      </c>
      <c r="M33" s="72">
        <f>'[1]Admin by Month'!L33+'[1]Membership by Month'!L33+'[1]Education by Month'!L33</f>
        <v>0</v>
      </c>
      <c r="N33" s="72">
        <f>'[1]Admin by Month'!M33+'[1]Membership by Month'!M33+'[1]Education by Month'!M33</f>
        <v>0</v>
      </c>
      <c r="O33" s="72">
        <f>'[1]Admin by Month'!N33+'[1]Membership by Month'!N33+'[1]Education by Month'!N33</f>
        <v>0</v>
      </c>
      <c r="P33" s="72">
        <f>'[1]Admin by Month'!O33+'[1]Membership by Month'!O33+'[1]Education by Month'!O33</f>
        <v>0</v>
      </c>
      <c r="Q33" s="72">
        <f>'[1]Admin by Month'!P33+'[1]Membership by Month'!P33+'[1]Education by Month'!P33</f>
        <v>0</v>
      </c>
      <c r="R33" s="72">
        <f>'[1]Admin by Month'!Q33+'[1]Membership by Month'!Q33+'[1]Education by Month'!Q33</f>
        <v>0</v>
      </c>
      <c r="S33" s="72">
        <f>'[1]Admin by Month'!R33+'[1]Membership by Month'!R33+'[1]Education by Month'!R33</f>
        <v>0</v>
      </c>
      <c r="T33" s="72">
        <f>'[1]Admin by Month'!S33+'[1]Membership by Month'!S33+'[1]Education by Month'!S33</f>
        <v>0</v>
      </c>
      <c r="U33" s="72">
        <f>'[1]Admin by Month'!T33+'[1]Membership by Month'!T33+'[1]Education by Month'!T33</f>
        <v>0</v>
      </c>
      <c r="V33" s="72">
        <f>'[1]Admin by Month'!U33+'[1]Membership by Month'!U33+'[1]Education by Month'!U33</f>
        <v>5500</v>
      </c>
      <c r="W33" s="72">
        <f t="shared" si="16"/>
        <v>5500</v>
      </c>
      <c r="Y33" s="74">
        <f t="shared" si="2"/>
        <v>0</v>
      </c>
    </row>
    <row r="34" spans="1:25" x14ac:dyDescent="0.35">
      <c r="B34" s="16" t="s">
        <v>251</v>
      </c>
      <c r="C34" s="76">
        <f>SUM(C28:C33)</f>
        <v>12400</v>
      </c>
      <c r="D34" s="76">
        <f t="shared" ref="D34:F34" si="17">SUM(D28:D33)</f>
        <v>0</v>
      </c>
      <c r="E34" s="76">
        <f t="shared" si="17"/>
        <v>0</v>
      </c>
      <c r="F34" s="76">
        <f t="shared" si="17"/>
        <v>12400</v>
      </c>
      <c r="G34" s="3">
        <v>34150</v>
      </c>
      <c r="H34" s="3">
        <f>F34-G34</f>
        <v>-21750</v>
      </c>
      <c r="K34" s="76">
        <f t="shared" ref="K34:W34" si="18">SUM(K28:K33)</f>
        <v>283.33333333333337</v>
      </c>
      <c r="L34" s="76">
        <f t="shared" si="18"/>
        <v>283.33333333333337</v>
      </c>
      <c r="M34" s="76">
        <f t="shared" si="18"/>
        <v>283.33333333333337</v>
      </c>
      <c r="N34" s="76">
        <f t="shared" si="18"/>
        <v>283.33333333333337</v>
      </c>
      <c r="O34" s="76">
        <f t="shared" si="18"/>
        <v>283.33333333333337</v>
      </c>
      <c r="P34" s="76">
        <f t="shared" si="18"/>
        <v>283.33333333333337</v>
      </c>
      <c r="Q34" s="76">
        <f t="shared" si="18"/>
        <v>283.33333333333337</v>
      </c>
      <c r="R34" s="76">
        <f t="shared" si="18"/>
        <v>283.33333333333337</v>
      </c>
      <c r="S34" s="76">
        <f t="shared" si="18"/>
        <v>283.33333333333337</v>
      </c>
      <c r="T34" s="76">
        <f t="shared" si="18"/>
        <v>283.33333333333337</v>
      </c>
      <c r="U34" s="76">
        <f t="shared" si="18"/>
        <v>283.33333333333337</v>
      </c>
      <c r="V34" s="76">
        <f t="shared" si="18"/>
        <v>9283.3333333333339</v>
      </c>
      <c r="W34" s="76">
        <f t="shared" si="18"/>
        <v>12400</v>
      </c>
      <c r="Y34" s="74">
        <f t="shared" si="2"/>
        <v>0</v>
      </c>
    </row>
    <row r="35" spans="1:25" x14ac:dyDescent="0.35">
      <c r="A35" t="s">
        <v>220</v>
      </c>
      <c r="B35" s="16" t="s">
        <v>252</v>
      </c>
      <c r="C35" s="73"/>
      <c r="D35" s="73">
        <v>26250</v>
      </c>
      <c r="E35" s="73">
        <v>0</v>
      </c>
      <c r="F35" s="72">
        <f t="shared" ref="F35" si="19">SUM(C35:E35)</f>
        <v>26250</v>
      </c>
      <c r="G35" s="3">
        <v>5500</v>
      </c>
      <c r="H35" s="3">
        <f>F35-G35</f>
        <v>20750</v>
      </c>
      <c r="I35" t="s">
        <v>310</v>
      </c>
      <c r="K35" s="72">
        <f>'[1]Admin by Month'!J35+'[1]Membership by Month'!J35+'[1]Education by Month'!J35</f>
        <v>2187.5</v>
      </c>
      <c r="L35" s="72">
        <f>'[1]Admin by Month'!K35+'[1]Membership by Month'!K35+'[1]Education by Month'!K35</f>
        <v>2187.5</v>
      </c>
      <c r="M35" s="72">
        <f>'[1]Admin by Month'!L35+'[1]Membership by Month'!L35+'[1]Education by Month'!L35</f>
        <v>2187.5</v>
      </c>
      <c r="N35" s="72">
        <f>'[1]Admin by Month'!M35+'[1]Membership by Month'!M35+'[1]Education by Month'!M35</f>
        <v>2187.5</v>
      </c>
      <c r="O35" s="72">
        <f>'[1]Admin by Month'!N35+'[1]Membership by Month'!N35+'[1]Education by Month'!N35</f>
        <v>2187.5</v>
      </c>
      <c r="P35" s="72">
        <f>'[1]Admin by Month'!O35+'[1]Membership by Month'!O35+'[1]Education by Month'!O35</f>
        <v>2187.5</v>
      </c>
      <c r="Q35" s="72">
        <f>'[1]Admin by Month'!P35+'[1]Membership by Month'!P35+'[1]Education by Month'!P35</f>
        <v>2187.5</v>
      </c>
      <c r="R35" s="72">
        <f>'[1]Admin by Month'!Q35+'[1]Membership by Month'!Q35+'[1]Education by Month'!Q35</f>
        <v>2187.5</v>
      </c>
      <c r="S35" s="72">
        <f>'[1]Admin by Month'!R35+'[1]Membership by Month'!R35+'[1]Education by Month'!R35</f>
        <v>2187.5</v>
      </c>
      <c r="T35" s="72">
        <f>'[1]Admin by Month'!S35+'[1]Membership by Month'!S35+'[1]Education by Month'!S35</f>
        <v>2187.5</v>
      </c>
      <c r="U35" s="72">
        <f>'[1]Admin by Month'!T35+'[1]Membership by Month'!T35+'[1]Education by Month'!T35</f>
        <v>2187.5</v>
      </c>
      <c r="V35" s="72">
        <f>'[1]Admin by Month'!U35+'[1]Membership by Month'!U35+'[1]Education by Month'!U35</f>
        <v>2187.5</v>
      </c>
      <c r="W35" s="72">
        <f t="shared" ref="W35" si="20">SUM(K35:V35)</f>
        <v>26250</v>
      </c>
      <c r="Y35" s="74">
        <f t="shared" si="2"/>
        <v>0</v>
      </c>
    </row>
    <row r="36" spans="1:25" x14ac:dyDescent="0.35">
      <c r="B36" s="16" t="s">
        <v>174</v>
      </c>
      <c r="C36" s="76">
        <f>SUM(C17,C27,C34,C35)</f>
        <v>12400</v>
      </c>
      <c r="D36" s="76">
        <f t="shared" ref="D36:F36" si="21">SUM(D17,D27,D34,D35)</f>
        <v>513484</v>
      </c>
      <c r="E36" s="76">
        <f t="shared" si="21"/>
        <v>158563.5</v>
      </c>
      <c r="F36" s="76">
        <f t="shared" si="21"/>
        <v>684447.5</v>
      </c>
      <c r="G36" s="3">
        <v>706947.5</v>
      </c>
      <c r="H36" s="3">
        <f>F36-G36</f>
        <v>-22500</v>
      </c>
      <c r="I36" t="s">
        <v>311</v>
      </c>
      <c r="K36" s="76">
        <f t="shared" ref="K36:W36" si="22">SUM(K17,K27,K34,K35)</f>
        <v>43405.125000066662</v>
      </c>
      <c r="L36" s="76">
        <f t="shared" si="22"/>
        <v>50985.125000066662</v>
      </c>
      <c r="M36" s="76">
        <f t="shared" si="22"/>
        <v>43405.125000066662</v>
      </c>
      <c r="N36" s="76">
        <f t="shared" si="22"/>
        <v>43405.125000066662</v>
      </c>
      <c r="O36" s="76">
        <f t="shared" si="22"/>
        <v>50343.125000066662</v>
      </c>
      <c r="P36" s="76">
        <f t="shared" si="22"/>
        <v>48130.125000066662</v>
      </c>
      <c r="Q36" s="76">
        <f t="shared" si="22"/>
        <v>49870.125000066662</v>
      </c>
      <c r="R36" s="76">
        <f t="shared" si="22"/>
        <v>76530.125000066662</v>
      </c>
      <c r="S36" s="76">
        <f t="shared" si="22"/>
        <v>45205.125000066662</v>
      </c>
      <c r="T36" s="76">
        <f t="shared" si="22"/>
        <v>135128.12500006668</v>
      </c>
      <c r="U36" s="76">
        <f t="shared" si="22"/>
        <v>45635.125000066662</v>
      </c>
      <c r="V36" s="76">
        <f t="shared" si="22"/>
        <v>52405.125000066662</v>
      </c>
      <c r="W36" s="76">
        <f t="shared" si="22"/>
        <v>684447.50000080001</v>
      </c>
      <c r="Y36" s="74">
        <f t="shared" si="2"/>
        <v>-8.0000609159469604E-7</v>
      </c>
    </row>
    <row r="37" spans="1:25" x14ac:dyDescent="0.35">
      <c r="B37" s="16" t="s">
        <v>20</v>
      </c>
      <c r="C37" s="76">
        <f>C36</f>
        <v>12400</v>
      </c>
      <c r="D37" s="76">
        <f t="shared" ref="D37:F37" si="23">D36</f>
        <v>513484</v>
      </c>
      <c r="E37" s="76">
        <f t="shared" si="23"/>
        <v>158563.5</v>
      </c>
      <c r="F37" s="76">
        <f t="shared" si="23"/>
        <v>684447.5</v>
      </c>
      <c r="G37" s="3">
        <v>711947.5</v>
      </c>
      <c r="H37" s="3">
        <f>F37-G37</f>
        <v>-27500</v>
      </c>
      <c r="K37" s="76">
        <f t="shared" ref="K37:W37" si="24">K36</f>
        <v>43405.125000066662</v>
      </c>
      <c r="L37" s="76">
        <f t="shared" si="24"/>
        <v>50985.125000066662</v>
      </c>
      <c r="M37" s="76">
        <f t="shared" si="24"/>
        <v>43405.125000066662</v>
      </c>
      <c r="N37" s="76">
        <f t="shared" si="24"/>
        <v>43405.125000066662</v>
      </c>
      <c r="O37" s="76">
        <f t="shared" si="24"/>
        <v>50343.125000066662</v>
      </c>
      <c r="P37" s="76">
        <f t="shared" si="24"/>
        <v>48130.125000066662</v>
      </c>
      <c r="Q37" s="76">
        <f t="shared" si="24"/>
        <v>49870.125000066662</v>
      </c>
      <c r="R37" s="76">
        <f t="shared" si="24"/>
        <v>76530.125000066662</v>
      </c>
      <c r="S37" s="76">
        <f t="shared" si="24"/>
        <v>45205.125000066662</v>
      </c>
      <c r="T37" s="76">
        <f t="shared" si="24"/>
        <v>135128.12500006668</v>
      </c>
      <c r="U37" s="76">
        <f t="shared" si="24"/>
        <v>45635.125000066662</v>
      </c>
      <c r="V37" s="76">
        <f t="shared" si="24"/>
        <v>52405.125000066662</v>
      </c>
      <c r="W37" s="76">
        <f t="shared" si="24"/>
        <v>684447.50000080001</v>
      </c>
      <c r="Y37" s="74">
        <f t="shared" si="2"/>
        <v>-8.0000609159469604E-7</v>
      </c>
    </row>
    <row r="38" spans="1:25" x14ac:dyDescent="0.35">
      <c r="B38" s="16" t="s">
        <v>175</v>
      </c>
      <c r="C38" s="71"/>
      <c r="D38" s="71"/>
      <c r="E38" s="71"/>
      <c r="F38" s="71"/>
      <c r="K38" s="71"/>
      <c r="L38" s="71"/>
      <c r="M38" s="71"/>
      <c r="N38" s="71"/>
      <c r="O38" s="71"/>
      <c r="P38" s="71"/>
      <c r="Q38" s="71"/>
      <c r="R38" s="71"/>
      <c r="S38" s="71"/>
      <c r="T38" s="71"/>
      <c r="U38" s="71"/>
      <c r="V38" s="71"/>
      <c r="W38" s="71"/>
      <c r="Y38" s="74">
        <f t="shared" si="2"/>
        <v>0</v>
      </c>
    </row>
    <row r="39" spans="1:25" x14ac:dyDescent="0.35">
      <c r="A39" s="4" t="s">
        <v>187</v>
      </c>
      <c r="B39" s="16" t="s">
        <v>254</v>
      </c>
      <c r="C39" s="73"/>
      <c r="D39" s="73"/>
      <c r="E39" s="73">
        <v>0</v>
      </c>
      <c r="F39" s="72">
        <f t="shared" ref="F39:F80" si="25">SUM(C39:E39)</f>
        <v>0</v>
      </c>
      <c r="K39" s="72">
        <f>'[1]Admin by Month'!J39+'[1]Membership by Month'!J39+'[1]Education by Month'!J39</f>
        <v>0</v>
      </c>
      <c r="L39" s="72">
        <f>'[1]Admin by Month'!K39+'[1]Membership by Month'!K39+'[1]Education by Month'!K39</f>
        <v>0</v>
      </c>
      <c r="M39" s="72">
        <f>'[1]Admin by Month'!L39+'[1]Membership by Month'!L39+'[1]Education by Month'!L39</f>
        <v>0</v>
      </c>
      <c r="N39" s="72">
        <f>'[1]Admin by Month'!M39+'[1]Membership by Month'!M39+'[1]Education by Month'!M39</f>
        <v>0</v>
      </c>
      <c r="O39" s="72">
        <f>'[1]Admin by Month'!N39+'[1]Membership by Month'!N39+'[1]Education by Month'!N39</f>
        <v>0</v>
      </c>
      <c r="P39" s="72">
        <f>'[1]Admin by Month'!O39+'[1]Membership by Month'!O39+'[1]Education by Month'!O39</f>
        <v>0</v>
      </c>
      <c r="Q39" s="72">
        <f>'[1]Admin by Month'!P39+'[1]Membership by Month'!P39+'[1]Education by Month'!P39</f>
        <v>0</v>
      </c>
      <c r="R39" s="72">
        <f>'[1]Admin by Month'!Q39+'[1]Membership by Month'!Q39+'[1]Education by Month'!Q39</f>
        <v>0</v>
      </c>
      <c r="S39" s="72">
        <f>'[1]Admin by Month'!R39+'[1]Membership by Month'!R39+'[1]Education by Month'!R39</f>
        <v>0</v>
      </c>
      <c r="T39" s="72">
        <f>'[1]Admin by Month'!S39+'[1]Membership by Month'!S39+'[1]Education by Month'!S39</f>
        <v>0</v>
      </c>
      <c r="U39" s="72">
        <f>'[1]Admin by Month'!T39+'[1]Membership by Month'!T39+'[1]Education by Month'!T39</f>
        <v>0</v>
      </c>
      <c r="V39" s="72">
        <f>'[1]Admin by Month'!U39+'[1]Membership by Month'!U39+'[1]Education by Month'!U39</f>
        <v>0</v>
      </c>
      <c r="W39" s="72">
        <f t="shared" ref="W39:W41" si="26">SUM(K39:V39)</f>
        <v>0</v>
      </c>
      <c r="Y39" s="74">
        <f t="shared" si="2"/>
        <v>0</v>
      </c>
    </row>
    <row r="40" spans="1:25" x14ac:dyDescent="0.35">
      <c r="A40" s="4" t="s">
        <v>187</v>
      </c>
      <c r="B40" s="16" t="s">
        <v>255</v>
      </c>
      <c r="C40" s="73"/>
      <c r="D40" s="73"/>
      <c r="E40" s="73">
        <v>41594</v>
      </c>
      <c r="F40" s="72">
        <f t="shared" si="25"/>
        <v>41594</v>
      </c>
      <c r="K40" s="72">
        <f>'[1]Admin by Month'!J40+'[1]Membership by Month'!J40+'[1]Education by Month'!J40</f>
        <v>0</v>
      </c>
      <c r="L40" s="72">
        <f>'[1]Admin by Month'!K40+'[1]Membership by Month'!K40+'[1]Education by Month'!K40</f>
        <v>0</v>
      </c>
      <c r="M40" s="72">
        <f>'[1]Admin by Month'!L40+'[1]Membership by Month'!L40+'[1]Education by Month'!L40</f>
        <v>0</v>
      </c>
      <c r="N40" s="72">
        <f>'[1]Admin by Month'!M40+'[1]Membership by Month'!M40+'[1]Education by Month'!M40</f>
        <v>0</v>
      </c>
      <c r="O40" s="72">
        <f>'[1]Admin by Month'!N40+'[1]Membership by Month'!N40+'[1]Education by Month'!N40</f>
        <v>0</v>
      </c>
      <c r="P40" s="72">
        <f>'[1]Admin by Month'!O40+'[1]Membership by Month'!O40+'[1]Education by Month'!O40</f>
        <v>0</v>
      </c>
      <c r="Q40" s="72">
        <f>'[1]Admin by Month'!P40+'[1]Membership by Month'!P40+'[1]Education by Month'!P40</f>
        <v>0</v>
      </c>
      <c r="R40" s="72">
        <f>'[1]Admin by Month'!Q40+'[1]Membership by Month'!Q40+'[1]Education by Month'!Q40</f>
        <v>0</v>
      </c>
      <c r="S40" s="72">
        <f>'[1]Admin by Month'!R40+'[1]Membership by Month'!R40+'[1]Education by Month'!R40</f>
        <v>0</v>
      </c>
      <c r="T40" s="72">
        <f>'[1]Admin by Month'!S40+'[1]Membership by Month'!S40+'[1]Education by Month'!S40</f>
        <v>41594</v>
      </c>
      <c r="U40" s="72">
        <f>'[1]Admin by Month'!T40+'[1]Membership by Month'!T40+'[1]Education by Month'!T40</f>
        <v>0</v>
      </c>
      <c r="V40" s="72">
        <f>'[1]Admin by Month'!U40+'[1]Membership by Month'!U40+'[1]Education by Month'!U40</f>
        <v>0</v>
      </c>
      <c r="W40" s="72">
        <f t="shared" si="26"/>
        <v>41594</v>
      </c>
      <c r="Y40" s="74">
        <f t="shared" si="2"/>
        <v>0</v>
      </c>
    </row>
    <row r="41" spans="1:25" x14ac:dyDescent="0.35">
      <c r="A41" s="4" t="s">
        <v>187</v>
      </c>
      <c r="B41" s="16" t="s">
        <v>243</v>
      </c>
      <c r="C41" s="75"/>
      <c r="D41" s="75"/>
      <c r="E41" s="75">
        <v>33129</v>
      </c>
      <c r="F41" s="72">
        <f t="shared" si="25"/>
        <v>33129</v>
      </c>
      <c r="K41" s="72">
        <f>'[1]Admin by Month'!J41+'[1]Membership by Month'!J41+'[1]Education by Month'!J41</f>
        <v>1369</v>
      </c>
      <c r="L41" s="72">
        <f>'[1]Admin by Month'!K41+'[1]Membership by Month'!K41+'[1]Education by Month'!K41</f>
        <v>3369</v>
      </c>
      <c r="M41" s="72">
        <f>'[1]Admin by Month'!L41+'[1]Membership by Month'!L41+'[1]Education by Month'!L41</f>
        <v>119</v>
      </c>
      <c r="N41" s="72">
        <f>'[1]Admin by Month'!M41+'[1]Membership by Month'!M41+'[1]Education by Month'!M41</f>
        <v>119</v>
      </c>
      <c r="O41" s="72">
        <f>'[1]Admin by Month'!N41+'[1]Membership by Month'!N41+'[1]Education by Month'!N41</f>
        <v>1119</v>
      </c>
      <c r="P41" s="72">
        <f>'[1]Admin by Month'!O41+'[1]Membership by Month'!O41+'[1]Education by Month'!O41</f>
        <v>619</v>
      </c>
      <c r="Q41" s="72">
        <f>'[1]Admin by Month'!P41+'[1]Membership by Month'!P41+'[1]Education by Month'!P41</f>
        <v>1119</v>
      </c>
      <c r="R41" s="72">
        <f>'[1]Admin by Month'!Q41+'[1]Membership by Month'!Q41+'[1]Education by Month'!Q41</f>
        <v>23720</v>
      </c>
      <c r="S41" s="72">
        <f>'[1]Admin by Month'!R41+'[1]Membership by Month'!R41+'[1]Education by Month'!R41</f>
        <v>1119</v>
      </c>
      <c r="T41" s="72">
        <f>'[1]Admin by Month'!S41+'[1]Membership by Month'!S41+'[1]Education by Month'!S41</f>
        <v>119</v>
      </c>
      <c r="U41" s="72">
        <f>'[1]Admin by Month'!T41+'[1]Membership by Month'!T41+'[1]Education by Month'!T41</f>
        <v>219</v>
      </c>
      <c r="V41" s="72">
        <f>'[1]Admin by Month'!U41+'[1]Membership by Month'!U41+'[1]Education by Month'!U41</f>
        <v>119</v>
      </c>
      <c r="W41" s="72">
        <f t="shared" si="26"/>
        <v>33129</v>
      </c>
      <c r="Y41" s="74">
        <f t="shared" si="2"/>
        <v>0</v>
      </c>
    </row>
    <row r="42" spans="1:25" x14ac:dyDescent="0.35">
      <c r="B42" s="16" t="s">
        <v>256</v>
      </c>
      <c r="C42" s="76">
        <f>SUM(C39:C41)</f>
        <v>0</v>
      </c>
      <c r="D42" s="76">
        <f t="shared" ref="D42:F42" si="27">SUM(D39:D41)</f>
        <v>0</v>
      </c>
      <c r="E42" s="76">
        <f t="shared" si="27"/>
        <v>74723</v>
      </c>
      <c r="F42" s="76">
        <f t="shared" si="27"/>
        <v>74723</v>
      </c>
      <c r="G42" s="3">
        <v>74723</v>
      </c>
      <c r="H42" s="3">
        <f>F42-G42</f>
        <v>0</v>
      </c>
      <c r="K42" s="76">
        <f t="shared" ref="K42:W42" si="28">SUM(K39:K41)</f>
        <v>1369</v>
      </c>
      <c r="L42" s="76">
        <f t="shared" si="28"/>
        <v>3369</v>
      </c>
      <c r="M42" s="76">
        <f t="shared" si="28"/>
        <v>119</v>
      </c>
      <c r="N42" s="76">
        <f t="shared" si="28"/>
        <v>119</v>
      </c>
      <c r="O42" s="76">
        <f t="shared" si="28"/>
        <v>1119</v>
      </c>
      <c r="P42" s="76">
        <f t="shared" si="28"/>
        <v>619</v>
      </c>
      <c r="Q42" s="76">
        <f t="shared" si="28"/>
        <v>1119</v>
      </c>
      <c r="R42" s="76">
        <f t="shared" si="28"/>
        <v>23720</v>
      </c>
      <c r="S42" s="76">
        <f t="shared" si="28"/>
        <v>1119</v>
      </c>
      <c r="T42" s="76">
        <f t="shared" si="28"/>
        <v>41713</v>
      </c>
      <c r="U42" s="76">
        <f t="shared" si="28"/>
        <v>219</v>
      </c>
      <c r="V42" s="76">
        <f t="shared" si="28"/>
        <v>119</v>
      </c>
      <c r="W42" s="76">
        <f t="shared" si="28"/>
        <v>74723</v>
      </c>
      <c r="Y42" s="74">
        <f t="shared" si="2"/>
        <v>0</v>
      </c>
    </row>
    <row r="43" spans="1:25" x14ac:dyDescent="0.35">
      <c r="A43" t="s">
        <v>191</v>
      </c>
      <c r="B43" s="16" t="s">
        <v>257</v>
      </c>
      <c r="C43" s="71"/>
      <c r="D43" s="71"/>
      <c r="E43" s="71"/>
      <c r="F43" s="72">
        <f t="shared" si="25"/>
        <v>0</v>
      </c>
      <c r="K43" s="71"/>
      <c r="L43" s="71"/>
      <c r="M43" s="71"/>
      <c r="N43" s="72"/>
      <c r="O43" s="71"/>
      <c r="P43" s="71"/>
      <c r="Q43" s="71"/>
      <c r="R43" s="72"/>
      <c r="S43" s="71"/>
      <c r="T43" s="71"/>
      <c r="U43" s="71"/>
      <c r="V43" s="72"/>
      <c r="W43" s="71"/>
      <c r="Y43" s="74">
        <f t="shared" si="2"/>
        <v>0</v>
      </c>
    </row>
    <row r="44" spans="1:25" x14ac:dyDescent="0.35">
      <c r="A44" t="s">
        <v>191</v>
      </c>
      <c r="B44" s="16" t="s">
        <v>258</v>
      </c>
      <c r="C44" s="73">
        <v>-5000</v>
      </c>
      <c r="F44" s="72">
        <f t="shared" si="25"/>
        <v>-5000</v>
      </c>
      <c r="K44" s="72">
        <f>'[1]Admin by Month'!J44+'[1]Membership by Month'!J44+'[1]Education by Month'!J44</f>
        <v>0</v>
      </c>
      <c r="L44" s="72">
        <f>'[1]Admin by Month'!K44+'[1]Membership by Month'!K44+'[1]Education by Month'!K44</f>
        <v>0</v>
      </c>
      <c r="M44" s="72">
        <f>'[1]Admin by Month'!L44+'[1]Membership by Month'!L44+'[1]Education by Month'!L44</f>
        <v>0</v>
      </c>
      <c r="N44" s="72">
        <f>'[1]Admin by Month'!M44+'[1]Membership by Month'!M44+'[1]Education by Month'!M44</f>
        <v>0</v>
      </c>
      <c r="O44" s="72">
        <f>'[1]Admin by Month'!N44+'[1]Membership by Month'!N44+'[1]Education by Month'!N44</f>
        <v>0</v>
      </c>
      <c r="P44" s="72">
        <f>'[1]Admin by Month'!O44+'[1]Membership by Month'!O44+'[1]Education by Month'!O44</f>
        <v>0</v>
      </c>
      <c r="Q44" s="72">
        <f>'[1]Admin by Month'!P44+'[1]Membership by Month'!P44+'[1]Education by Month'!P44</f>
        <v>0</v>
      </c>
      <c r="R44" s="72">
        <f>'[1]Admin by Month'!Q44+'[1]Membership by Month'!Q44+'[1]Education by Month'!Q44</f>
        <v>0</v>
      </c>
      <c r="S44" s="72">
        <f>'[1]Admin by Month'!R44+'[1]Membership by Month'!R44+'[1]Education by Month'!R44</f>
        <v>0</v>
      </c>
      <c r="T44" s="72">
        <f>'[1]Admin by Month'!S44+'[1]Membership by Month'!S44+'[1]Education by Month'!S44</f>
        <v>0</v>
      </c>
      <c r="U44" s="72">
        <f>'[1]Admin by Month'!T44+'[1]Membership by Month'!T44+'[1]Education by Month'!T44</f>
        <v>0</v>
      </c>
      <c r="V44" s="72">
        <f>'[1]Admin by Month'!U44+'[1]Membership by Month'!U44+'[1]Education by Month'!U44</f>
        <v>-5000</v>
      </c>
      <c r="W44" s="72">
        <f t="shared" ref="W44:W62" si="29">SUM(K44:V44)</f>
        <v>-5000</v>
      </c>
      <c r="Y44" s="74">
        <f t="shared" si="2"/>
        <v>0</v>
      </c>
    </row>
    <row r="45" spans="1:25" x14ac:dyDescent="0.35">
      <c r="A45" t="s">
        <v>191</v>
      </c>
      <c r="B45" s="16" t="s">
        <v>259</v>
      </c>
      <c r="C45" s="73">
        <v>9824</v>
      </c>
      <c r="D45" s="73">
        <v>0</v>
      </c>
      <c r="E45" s="73">
        <v>0</v>
      </c>
      <c r="F45" s="72">
        <f t="shared" si="25"/>
        <v>9824</v>
      </c>
      <c r="K45" s="72">
        <f>'[1]Admin by Month'!J45+'[1]Membership by Month'!J45+'[1]Education by Month'!J45</f>
        <v>818.66666666666663</v>
      </c>
      <c r="L45" s="72">
        <f>'[1]Admin by Month'!K45+'[1]Membership by Month'!K45+'[1]Education by Month'!K45</f>
        <v>818.66666666666663</v>
      </c>
      <c r="M45" s="72">
        <f>'[1]Admin by Month'!L45+'[1]Membership by Month'!L45+'[1]Education by Month'!L45</f>
        <v>818.66666666666663</v>
      </c>
      <c r="N45" s="72">
        <f>'[1]Admin by Month'!M45+'[1]Membership by Month'!M45+'[1]Education by Month'!M45</f>
        <v>818.66666666666663</v>
      </c>
      <c r="O45" s="72">
        <f>'[1]Admin by Month'!N45+'[1]Membership by Month'!N45+'[1]Education by Month'!N45</f>
        <v>818.66666666666663</v>
      </c>
      <c r="P45" s="72">
        <f>'[1]Admin by Month'!O45+'[1]Membership by Month'!O45+'[1]Education by Month'!O45</f>
        <v>818.66666666666663</v>
      </c>
      <c r="Q45" s="72">
        <f>'[1]Admin by Month'!P45+'[1]Membership by Month'!P45+'[1]Education by Month'!P45</f>
        <v>818.66666666666663</v>
      </c>
      <c r="R45" s="72">
        <f>'[1]Admin by Month'!Q45+'[1]Membership by Month'!Q45+'[1]Education by Month'!Q45</f>
        <v>818.66666666666663</v>
      </c>
      <c r="S45" s="72">
        <f>'[1]Admin by Month'!R45+'[1]Membership by Month'!R45+'[1]Education by Month'!R45</f>
        <v>818.66666666666663</v>
      </c>
      <c r="T45" s="72">
        <f>'[1]Admin by Month'!S45+'[1]Membership by Month'!S45+'[1]Education by Month'!S45</f>
        <v>818.66666666666663</v>
      </c>
      <c r="U45" s="72">
        <f>'[1]Admin by Month'!T45+'[1]Membership by Month'!T45+'[1]Education by Month'!T45</f>
        <v>818.66666666666663</v>
      </c>
      <c r="V45" s="72">
        <f>'[1]Admin by Month'!U45+'[1]Membership by Month'!U45+'[1]Education by Month'!U45</f>
        <v>818.66666666666663</v>
      </c>
      <c r="W45" s="72">
        <f t="shared" si="29"/>
        <v>9824</v>
      </c>
      <c r="Y45" s="74">
        <f t="shared" si="2"/>
        <v>0</v>
      </c>
    </row>
    <row r="46" spans="1:25" x14ac:dyDescent="0.35">
      <c r="A46" t="s">
        <v>191</v>
      </c>
      <c r="B46" s="16" t="s">
        <v>260</v>
      </c>
      <c r="C46" s="73">
        <v>3203</v>
      </c>
      <c r="D46" s="73">
        <v>0</v>
      </c>
      <c r="E46" s="73">
        <v>0</v>
      </c>
      <c r="F46" s="72">
        <f t="shared" si="25"/>
        <v>3203</v>
      </c>
      <c r="K46" s="72">
        <f>'[1]Admin by Month'!J46+'[1]Membership by Month'!J46+'[1]Education by Month'!J46</f>
        <v>217</v>
      </c>
      <c r="L46" s="72">
        <f>'[1]Admin by Month'!K46+'[1]Membership by Month'!K46+'[1]Education by Month'!K46</f>
        <v>217</v>
      </c>
      <c r="M46" s="72">
        <f>'[1]Admin by Month'!L46+'[1]Membership by Month'!L46+'[1]Education by Month'!L46</f>
        <v>217</v>
      </c>
      <c r="N46" s="72">
        <f>'[1]Admin by Month'!M46+'[1]Membership by Month'!M46+'[1]Education by Month'!M46</f>
        <v>217</v>
      </c>
      <c r="O46" s="72">
        <f>'[1]Admin by Month'!N46+'[1]Membership by Month'!N46+'[1]Education by Month'!N46</f>
        <v>217</v>
      </c>
      <c r="P46" s="72">
        <f>'[1]Admin by Month'!O46+'[1]Membership by Month'!O46+'[1]Education by Month'!O46</f>
        <v>417</v>
      </c>
      <c r="Q46" s="72">
        <f>'[1]Admin by Month'!P46+'[1]Membership by Month'!P46+'[1]Education by Month'!P46</f>
        <v>217</v>
      </c>
      <c r="R46" s="72">
        <f>'[1]Admin by Month'!Q46+'[1]Membership by Month'!Q46+'[1]Education by Month'!Q46</f>
        <v>217</v>
      </c>
      <c r="S46" s="72">
        <f>'[1]Admin by Month'!R46+'[1]Membership by Month'!R46+'[1]Education by Month'!R46</f>
        <v>316</v>
      </c>
      <c r="T46" s="72">
        <f>'[1]Admin by Month'!S46+'[1]Membership by Month'!S46+'[1]Education by Month'!S46</f>
        <v>217</v>
      </c>
      <c r="U46" s="72">
        <f>'[1]Admin by Month'!T46+'[1]Membership by Month'!T46+'[1]Education by Month'!T46</f>
        <v>217</v>
      </c>
      <c r="V46" s="72">
        <f>'[1]Admin by Month'!U46+'[1]Membership by Month'!U46+'[1]Education by Month'!U46</f>
        <v>517</v>
      </c>
      <c r="W46" s="72">
        <f t="shared" si="29"/>
        <v>3203</v>
      </c>
      <c r="Y46" s="74">
        <f t="shared" si="2"/>
        <v>0</v>
      </c>
    </row>
    <row r="47" spans="1:25" x14ac:dyDescent="0.35">
      <c r="A47" t="s">
        <v>191</v>
      </c>
      <c r="B47" s="16" t="s">
        <v>261</v>
      </c>
      <c r="C47" s="73">
        <v>12575</v>
      </c>
      <c r="D47" s="73">
        <v>0</v>
      </c>
      <c r="E47" s="73">
        <v>0</v>
      </c>
      <c r="F47" s="72">
        <f t="shared" si="25"/>
        <v>12575</v>
      </c>
      <c r="K47" s="72">
        <f>'[1]Admin by Month'!J47+'[1]Membership by Month'!J47+'[1]Education by Month'!J47</f>
        <v>125</v>
      </c>
      <c r="L47" s="72">
        <f>'[1]Admin by Month'!K47+'[1]Membership by Month'!K47+'[1]Education by Month'!K47</f>
        <v>125</v>
      </c>
      <c r="M47" s="72">
        <f>'[1]Admin by Month'!L47+'[1]Membership by Month'!L47+'[1]Education by Month'!L47</f>
        <v>125</v>
      </c>
      <c r="N47" s="72">
        <f>'[1]Admin by Month'!M47+'[1]Membership by Month'!M47+'[1]Education by Month'!M47</f>
        <v>125</v>
      </c>
      <c r="O47" s="72">
        <f>'[1]Admin by Month'!N47+'[1]Membership by Month'!N47+'[1]Education by Month'!N47</f>
        <v>125</v>
      </c>
      <c r="P47" s="72">
        <f>'[1]Admin by Month'!O47+'[1]Membership by Month'!O47+'[1]Education by Month'!O47</f>
        <v>125</v>
      </c>
      <c r="Q47" s="72">
        <f>'[1]Admin by Month'!P47+'[1]Membership by Month'!P47+'[1]Education by Month'!P47</f>
        <v>2925</v>
      </c>
      <c r="R47" s="72">
        <f>'[1]Admin by Month'!Q47+'[1]Membership by Month'!Q47+'[1]Education by Month'!Q47</f>
        <v>125</v>
      </c>
      <c r="S47" s="72">
        <f>'[1]Admin by Month'!R47+'[1]Membership by Month'!R47+'[1]Education by Month'!R47</f>
        <v>3425</v>
      </c>
      <c r="T47" s="72">
        <f>'[1]Admin by Month'!S47+'[1]Membership by Month'!S47+'[1]Education by Month'!S47</f>
        <v>5100</v>
      </c>
      <c r="U47" s="72">
        <f>'[1]Admin by Month'!T47+'[1]Membership by Month'!T47+'[1]Education by Month'!T47</f>
        <v>125</v>
      </c>
      <c r="V47" s="72">
        <f>'[1]Admin by Month'!U47+'[1]Membership by Month'!U47+'[1]Education by Month'!U47</f>
        <v>125</v>
      </c>
      <c r="W47" s="72">
        <f t="shared" si="29"/>
        <v>12575</v>
      </c>
      <c r="Y47" s="74">
        <f t="shared" si="2"/>
        <v>0</v>
      </c>
    </row>
    <row r="48" spans="1:25" x14ac:dyDescent="0.35">
      <c r="A48" t="s">
        <v>191</v>
      </c>
      <c r="B48" s="16" t="s">
        <v>262</v>
      </c>
      <c r="C48" s="73">
        <v>3675</v>
      </c>
      <c r="D48" s="73">
        <v>0</v>
      </c>
      <c r="E48" s="73">
        <v>0</v>
      </c>
      <c r="F48" s="72">
        <f t="shared" si="25"/>
        <v>3675</v>
      </c>
      <c r="K48" s="72">
        <f>'[1]Admin by Month'!J48+'[1]Membership by Month'!J48+'[1]Education by Month'!J48</f>
        <v>1400</v>
      </c>
      <c r="L48" s="72">
        <f>'[1]Admin by Month'!K48+'[1]Membership by Month'!K48+'[1]Education by Month'!K48</f>
        <v>0</v>
      </c>
      <c r="M48" s="72">
        <f>'[1]Admin by Month'!L48+'[1]Membership by Month'!L48+'[1]Education by Month'!L48</f>
        <v>0</v>
      </c>
      <c r="N48" s="72">
        <f>'[1]Admin by Month'!M48+'[1]Membership by Month'!M48+'[1]Education by Month'!M48</f>
        <v>0</v>
      </c>
      <c r="O48" s="72">
        <f>'[1]Admin by Month'!N48+'[1]Membership by Month'!N48+'[1]Education by Month'!N48</f>
        <v>0</v>
      </c>
      <c r="P48" s="72">
        <f>'[1]Admin by Month'!O48+'[1]Membership by Month'!O48+'[1]Education by Month'!O48</f>
        <v>0</v>
      </c>
      <c r="Q48" s="72">
        <f>'[1]Admin by Month'!P48+'[1]Membership by Month'!P48+'[1]Education by Month'!P48</f>
        <v>1525</v>
      </c>
      <c r="R48" s="72">
        <f>'[1]Admin by Month'!Q48+'[1]Membership by Month'!Q48+'[1]Education by Month'!Q48</f>
        <v>0</v>
      </c>
      <c r="S48" s="72">
        <f>'[1]Admin by Month'!R48+'[1]Membership by Month'!R48+'[1]Education by Month'!R48</f>
        <v>0</v>
      </c>
      <c r="T48" s="72">
        <f>'[1]Admin by Month'!S48+'[1]Membership by Month'!S48+'[1]Education by Month'!S48</f>
        <v>750</v>
      </c>
      <c r="U48" s="72">
        <f>'[1]Admin by Month'!T48+'[1]Membership by Month'!T48+'[1]Education by Month'!T48</f>
        <v>0</v>
      </c>
      <c r="V48" s="72">
        <f>'[1]Admin by Month'!U48+'[1]Membership by Month'!U48+'[1]Education by Month'!U48</f>
        <v>0</v>
      </c>
      <c r="W48" s="72">
        <f t="shared" si="29"/>
        <v>3675</v>
      </c>
      <c r="Y48" s="74">
        <f t="shared" si="2"/>
        <v>0</v>
      </c>
    </row>
    <row r="49" spans="1:25" x14ac:dyDescent="0.35">
      <c r="A49" t="s">
        <v>191</v>
      </c>
      <c r="B49" s="16" t="s">
        <v>253</v>
      </c>
      <c r="C49" s="73">
        <v>47501</v>
      </c>
      <c r="D49" s="73"/>
      <c r="E49" s="73">
        <v>0</v>
      </c>
      <c r="F49" s="72">
        <f t="shared" si="25"/>
        <v>47501</v>
      </c>
      <c r="K49" s="72">
        <f>'[1]Admin by Month'!J66+'[1]Membership by Month'!J49+'[1]Education by Month'!J49</f>
        <v>3821</v>
      </c>
      <c r="L49" s="72">
        <f>'[1]Admin by Month'!K66+'[1]Membership by Month'!K49+'[1]Education by Month'!K49</f>
        <v>3821</v>
      </c>
      <c r="M49" s="72">
        <f>'[1]Admin by Month'!L66+'[1]Membership by Month'!L49+'[1]Education by Month'!L49</f>
        <v>3985.88</v>
      </c>
      <c r="N49" s="72">
        <f>'[1]Admin by Month'!M66+'[1]Membership by Month'!M49+'[1]Education by Month'!M49</f>
        <v>3985.88</v>
      </c>
      <c r="O49" s="72">
        <f>'[1]Admin by Month'!N66+'[1]Membership by Month'!N49+'[1]Education by Month'!N49</f>
        <v>3985.88</v>
      </c>
      <c r="P49" s="72">
        <f>'[1]Admin by Month'!O66+'[1]Membership by Month'!O49+'[1]Education by Month'!O49</f>
        <v>3985.88</v>
      </c>
      <c r="Q49" s="72">
        <f>'[1]Admin by Month'!P66+'[1]Membership by Month'!P49+'[1]Education by Month'!P49</f>
        <v>3985.88</v>
      </c>
      <c r="R49" s="72">
        <f>'[1]Admin by Month'!Q66+'[1]Membership by Month'!Q49+'[1]Education by Month'!Q49</f>
        <v>3985.88</v>
      </c>
      <c r="S49" s="72">
        <f>'[1]Admin by Month'!R66+'[1]Membership by Month'!R49+'[1]Education by Month'!R49</f>
        <v>3985.88</v>
      </c>
      <c r="T49" s="72">
        <f>'[1]Admin by Month'!S66+'[1]Membership by Month'!S49+'[1]Education by Month'!S49</f>
        <v>3985.88</v>
      </c>
      <c r="U49" s="72">
        <f>'[1]Admin by Month'!T66+'[1]Membership by Month'!T49+'[1]Education by Month'!T49</f>
        <v>3985.88</v>
      </c>
      <c r="V49" s="72">
        <f>'[1]Admin by Month'!U66+'[1]Membership by Month'!U49+'[1]Education by Month'!U49</f>
        <v>3986.08</v>
      </c>
      <c r="W49" s="72">
        <f t="shared" si="29"/>
        <v>47501</v>
      </c>
      <c r="Y49" s="74">
        <f t="shared" si="2"/>
        <v>0</v>
      </c>
    </row>
    <row r="50" spans="1:25" x14ac:dyDescent="0.35">
      <c r="A50" t="s">
        <v>191</v>
      </c>
      <c r="B50" s="16" t="s">
        <v>263</v>
      </c>
      <c r="C50" s="73">
        <v>600</v>
      </c>
      <c r="D50" s="73">
        <v>0</v>
      </c>
      <c r="E50" s="73">
        <v>0</v>
      </c>
      <c r="F50" s="72">
        <f t="shared" si="25"/>
        <v>600</v>
      </c>
      <c r="K50" s="72">
        <f>'[1]Admin by Month'!J49+'[1]Membership by Month'!J50+'[1]Education by Month'!J50</f>
        <v>50</v>
      </c>
      <c r="L50" s="72">
        <f>'[1]Admin by Month'!K49+'[1]Membership by Month'!K50+'[1]Education by Month'!K50</f>
        <v>50</v>
      </c>
      <c r="M50" s="72">
        <f>'[1]Admin by Month'!L49+'[1]Membership by Month'!L50+'[1]Education by Month'!L50</f>
        <v>50</v>
      </c>
      <c r="N50" s="72">
        <f>'[1]Admin by Month'!M49+'[1]Membership by Month'!M50+'[1]Education by Month'!M50</f>
        <v>50</v>
      </c>
      <c r="O50" s="72">
        <f>'[1]Admin by Month'!N49+'[1]Membership by Month'!N50+'[1]Education by Month'!N50</f>
        <v>50</v>
      </c>
      <c r="P50" s="72">
        <f>'[1]Admin by Month'!O49+'[1]Membership by Month'!O50+'[1]Education by Month'!O50</f>
        <v>50</v>
      </c>
      <c r="Q50" s="72">
        <f>'[1]Admin by Month'!P49+'[1]Membership by Month'!P50+'[1]Education by Month'!P50</f>
        <v>50</v>
      </c>
      <c r="R50" s="72">
        <f>'[1]Admin by Month'!Q49+'[1]Membership by Month'!Q50+'[1]Education by Month'!Q50</f>
        <v>50</v>
      </c>
      <c r="S50" s="72">
        <f>'[1]Admin by Month'!R49+'[1]Membership by Month'!R50+'[1]Education by Month'!R50</f>
        <v>50</v>
      </c>
      <c r="T50" s="72">
        <f>'[1]Admin by Month'!S49+'[1]Membership by Month'!S50+'[1]Education by Month'!S50</f>
        <v>50</v>
      </c>
      <c r="U50" s="72">
        <f>'[1]Admin by Month'!T49+'[1]Membership by Month'!T50+'[1]Education by Month'!T50</f>
        <v>50</v>
      </c>
      <c r="V50" s="72">
        <f>'[1]Admin by Month'!U49+'[1]Membership by Month'!U50+'[1]Education by Month'!U50</f>
        <v>50</v>
      </c>
      <c r="W50" s="72">
        <f t="shared" si="29"/>
        <v>600</v>
      </c>
      <c r="Y50" s="74">
        <f t="shared" si="2"/>
        <v>0</v>
      </c>
    </row>
    <row r="51" spans="1:25" x14ac:dyDescent="0.35">
      <c r="A51" t="s">
        <v>191</v>
      </c>
      <c r="B51" s="16" t="s">
        <v>312</v>
      </c>
      <c r="C51" s="71"/>
      <c r="D51" s="71"/>
      <c r="E51" s="71"/>
      <c r="F51" s="72">
        <f t="shared" si="25"/>
        <v>0</v>
      </c>
      <c r="K51" s="72">
        <f>'[1]Admin by Month'!J50+'[1]Membership by Month'!J51+'[1]Education by Month'!J51</f>
        <v>0</v>
      </c>
      <c r="L51" s="72">
        <f>'[1]Admin by Month'!K50+'[1]Membership by Month'!K51+'[1]Education by Month'!K51</f>
        <v>0</v>
      </c>
      <c r="M51" s="72">
        <f>'[1]Admin by Month'!L50+'[1]Membership by Month'!L51+'[1]Education by Month'!L51</f>
        <v>0</v>
      </c>
      <c r="N51" s="72">
        <f>'[1]Admin by Month'!M50+'[1]Membership by Month'!M51+'[1]Education by Month'!M51</f>
        <v>0</v>
      </c>
      <c r="O51" s="72">
        <f>'[1]Admin by Month'!N50+'[1]Membership by Month'!N51+'[1]Education by Month'!N51</f>
        <v>0</v>
      </c>
      <c r="P51" s="72">
        <f>'[1]Admin by Month'!O50+'[1]Membership by Month'!O51+'[1]Education by Month'!O51</f>
        <v>0</v>
      </c>
      <c r="Q51" s="72">
        <f>'[1]Admin by Month'!P50+'[1]Membership by Month'!P51+'[1]Education by Month'!P51</f>
        <v>0</v>
      </c>
      <c r="R51" s="72">
        <f>'[1]Admin by Month'!Q50+'[1]Membership by Month'!Q51+'[1]Education by Month'!Q51</f>
        <v>0</v>
      </c>
      <c r="S51" s="72">
        <f>'[1]Admin by Month'!R50+'[1]Membership by Month'!R51+'[1]Education by Month'!R51</f>
        <v>0</v>
      </c>
      <c r="T51" s="72">
        <f>'[1]Admin by Month'!S50+'[1]Membership by Month'!S51+'[1]Education by Month'!S51</f>
        <v>0</v>
      </c>
      <c r="U51" s="72">
        <f>'[1]Admin by Month'!T50+'[1]Membership by Month'!T51+'[1]Education by Month'!T51</f>
        <v>0</v>
      </c>
      <c r="V51" s="72">
        <f>'[1]Admin by Month'!U50+'[1]Membership by Month'!U51+'[1]Education by Month'!U51</f>
        <v>0</v>
      </c>
      <c r="W51" s="72">
        <f t="shared" si="29"/>
        <v>0</v>
      </c>
      <c r="Y51" s="74">
        <f t="shared" si="2"/>
        <v>0</v>
      </c>
    </row>
    <row r="52" spans="1:25" x14ac:dyDescent="0.35">
      <c r="A52" t="s">
        <v>191</v>
      </c>
      <c r="B52" s="16" t="s">
        <v>264</v>
      </c>
      <c r="C52" s="73">
        <v>2000</v>
      </c>
      <c r="D52" s="73">
        <v>0</v>
      </c>
      <c r="E52" s="73">
        <v>0</v>
      </c>
      <c r="F52" s="72">
        <f t="shared" si="25"/>
        <v>2000</v>
      </c>
      <c r="K52" s="72">
        <f>'[1]Admin by Month'!J51+'[1]Membership by Month'!J52+'[1]Education by Month'!J52</f>
        <v>166.66666666666666</v>
      </c>
      <c r="L52" s="72">
        <f>'[1]Admin by Month'!K51+'[1]Membership by Month'!K52+'[1]Education by Month'!K52</f>
        <v>166.66666666666666</v>
      </c>
      <c r="M52" s="72">
        <f>'[1]Admin by Month'!L51+'[1]Membership by Month'!L52+'[1]Education by Month'!L52</f>
        <v>166.66666666666666</v>
      </c>
      <c r="N52" s="72">
        <f>'[1]Admin by Month'!M51+'[1]Membership by Month'!M52+'[1]Education by Month'!M52</f>
        <v>166.66666666666666</v>
      </c>
      <c r="O52" s="72">
        <f>'[1]Admin by Month'!N51+'[1]Membership by Month'!N52+'[1]Education by Month'!N52</f>
        <v>166.66666666666666</v>
      </c>
      <c r="P52" s="72">
        <f>'[1]Admin by Month'!O51+'[1]Membership by Month'!O52+'[1]Education by Month'!O52</f>
        <v>166.66666666666666</v>
      </c>
      <c r="Q52" s="72">
        <f>'[1]Admin by Month'!P51+'[1]Membership by Month'!P52+'[1]Education by Month'!P52</f>
        <v>166.66666666666666</v>
      </c>
      <c r="R52" s="72">
        <f>'[1]Admin by Month'!Q51+'[1]Membership by Month'!Q52+'[1]Education by Month'!Q52</f>
        <v>166.66666666666666</v>
      </c>
      <c r="S52" s="72">
        <f>'[1]Admin by Month'!R51+'[1]Membership by Month'!R52+'[1]Education by Month'!R52</f>
        <v>166.66666666666666</v>
      </c>
      <c r="T52" s="72">
        <f>'[1]Admin by Month'!S51+'[1]Membership by Month'!S52+'[1]Education by Month'!S52</f>
        <v>166.66666666666666</v>
      </c>
      <c r="U52" s="72">
        <f>'[1]Admin by Month'!T51+'[1]Membership by Month'!T52+'[1]Education by Month'!T52</f>
        <v>166.66666666666666</v>
      </c>
      <c r="V52" s="72">
        <f>'[1]Admin by Month'!U51+'[1]Membership by Month'!U52+'[1]Education by Month'!U52</f>
        <v>166.66666666666666</v>
      </c>
      <c r="W52" s="72">
        <f t="shared" si="29"/>
        <v>2000.0000000000002</v>
      </c>
      <c r="Y52" s="74">
        <f t="shared" si="2"/>
        <v>0</v>
      </c>
    </row>
    <row r="53" spans="1:25" x14ac:dyDescent="0.35">
      <c r="A53" t="s">
        <v>191</v>
      </c>
      <c r="B53" s="16" t="s">
        <v>265</v>
      </c>
      <c r="C53" s="73">
        <v>9788</v>
      </c>
      <c r="D53" s="73">
        <v>100</v>
      </c>
      <c r="E53" s="73">
        <v>0</v>
      </c>
      <c r="F53" s="72">
        <f t="shared" si="25"/>
        <v>9888</v>
      </c>
      <c r="K53" s="72">
        <f>'[1]Admin by Month'!J52+'[1]Membership by Month'!J53+'[1]Education by Month'!J53</f>
        <v>124.99</v>
      </c>
      <c r="L53" s="72">
        <f>'[1]Admin by Month'!K52+'[1]Membership by Month'!K53+'[1]Education by Month'!K53</f>
        <v>224.99</v>
      </c>
      <c r="M53" s="72">
        <f>'[1]Admin by Month'!L52+'[1]Membership by Month'!L53+'[1]Education by Month'!L53</f>
        <v>124.99</v>
      </c>
      <c r="N53" s="72">
        <f>'[1]Admin by Month'!M52+'[1]Membership by Month'!M53+'[1]Education by Month'!M53</f>
        <v>124.99</v>
      </c>
      <c r="O53" s="72">
        <f>'[1]Admin by Month'!N52+'[1]Membership by Month'!N53+'[1]Education by Month'!N53</f>
        <v>124.99</v>
      </c>
      <c r="P53" s="72">
        <f>'[1]Admin by Month'!O52+'[1]Membership by Month'!O53+'[1]Education by Month'!O53</f>
        <v>124.99</v>
      </c>
      <c r="Q53" s="72">
        <f>'[1]Admin by Month'!P52+'[1]Membership by Month'!P53+'[1]Education by Month'!P53</f>
        <v>124.99</v>
      </c>
      <c r="R53" s="72">
        <f>'[1]Admin by Month'!Q52+'[1]Membership by Month'!Q53+'[1]Education by Month'!Q53</f>
        <v>6224.99</v>
      </c>
      <c r="S53" s="72">
        <f>'[1]Admin by Month'!R52+'[1]Membership by Month'!R53+'[1]Education by Month'!R53</f>
        <v>124.99</v>
      </c>
      <c r="T53" s="72">
        <f>'[1]Admin by Month'!S52+'[1]Membership by Month'!S53+'[1]Education by Month'!S53</f>
        <v>2312.9899999999998</v>
      </c>
      <c r="U53" s="72">
        <f>'[1]Admin by Month'!T52+'[1]Membership by Month'!T53+'[1]Education by Month'!T53</f>
        <v>124.99</v>
      </c>
      <c r="V53" s="72">
        <f>'[1]Admin by Month'!U52+'[1]Membership by Month'!U53+'[1]Education by Month'!U53</f>
        <v>125.11</v>
      </c>
      <c r="W53" s="72">
        <f t="shared" si="29"/>
        <v>9888</v>
      </c>
      <c r="Y53" s="74">
        <f t="shared" si="2"/>
        <v>0</v>
      </c>
    </row>
    <row r="54" spans="1:25" x14ac:dyDescent="0.35">
      <c r="A54" t="s">
        <v>191</v>
      </c>
      <c r="B54" s="16" t="s">
        <v>266</v>
      </c>
      <c r="C54" s="73">
        <v>2000</v>
      </c>
      <c r="D54" s="73">
        <v>0</v>
      </c>
      <c r="E54" s="73">
        <v>0</v>
      </c>
      <c r="F54" s="72">
        <f t="shared" si="25"/>
        <v>2000</v>
      </c>
      <c r="K54" s="72">
        <f>'[1]Admin by Month'!J53+'[1]Membership by Month'!J54+'[1]Education by Month'!J54</f>
        <v>0</v>
      </c>
      <c r="L54" s="72">
        <f>'[1]Admin by Month'!K53+'[1]Membership by Month'!K54+'[1]Education by Month'!K54</f>
        <v>0</v>
      </c>
      <c r="M54" s="72">
        <f>'[1]Admin by Month'!L53+'[1]Membership by Month'!L54+'[1]Education by Month'!L54</f>
        <v>0</v>
      </c>
      <c r="N54" s="72">
        <f>'[1]Admin by Month'!M53+'[1]Membership by Month'!M54+'[1]Education by Month'!M54</f>
        <v>0</v>
      </c>
      <c r="O54" s="72">
        <f>'[1]Admin by Month'!N53+'[1]Membership by Month'!N54+'[1]Education by Month'!N54</f>
        <v>0</v>
      </c>
      <c r="P54" s="72">
        <f>'[1]Admin by Month'!O53+'[1]Membership by Month'!O54+'[1]Education by Month'!O54</f>
        <v>0</v>
      </c>
      <c r="Q54" s="72">
        <f>'[1]Admin by Month'!P53+'[1]Membership by Month'!P54+'[1]Education by Month'!P54</f>
        <v>0</v>
      </c>
      <c r="R54" s="72">
        <f>'[1]Admin by Month'!Q53+'[1]Membership by Month'!Q54+'[1]Education by Month'!Q54</f>
        <v>2000</v>
      </c>
      <c r="S54" s="72">
        <f>'[1]Admin by Month'!R53+'[1]Membership by Month'!R54+'[1]Education by Month'!R54</f>
        <v>0</v>
      </c>
      <c r="T54" s="72">
        <f>'[1]Admin by Month'!S53+'[1]Membership by Month'!S54+'[1]Education by Month'!S54</f>
        <v>0</v>
      </c>
      <c r="U54" s="72">
        <f>'[1]Admin by Month'!T53+'[1]Membership by Month'!T54+'[1]Education by Month'!T54</f>
        <v>0</v>
      </c>
      <c r="V54" s="72">
        <f>'[1]Admin by Month'!U53+'[1]Membership by Month'!U54+'[1]Education by Month'!U54</f>
        <v>0</v>
      </c>
      <c r="W54" s="72">
        <f t="shared" si="29"/>
        <v>2000</v>
      </c>
      <c r="Y54" s="74">
        <f t="shared" si="2"/>
        <v>0</v>
      </c>
    </row>
    <row r="55" spans="1:25" x14ac:dyDescent="0.35">
      <c r="A55" t="s">
        <v>191</v>
      </c>
      <c r="B55" s="16" t="s">
        <v>267</v>
      </c>
      <c r="C55" s="73">
        <v>16339</v>
      </c>
      <c r="D55" s="73">
        <v>0</v>
      </c>
      <c r="E55" s="73">
        <v>0</v>
      </c>
      <c r="F55" s="72">
        <f t="shared" si="25"/>
        <v>16339</v>
      </c>
      <c r="K55" s="72">
        <f>'[1]Admin by Month'!J54+'[1]Membership by Month'!J55+'[1]Education by Month'!J55</f>
        <v>1344.8</v>
      </c>
      <c r="L55" s="72">
        <f>'[1]Admin by Month'!K54+'[1]Membership by Month'!K55+'[1]Education by Month'!K55</f>
        <v>1344.8</v>
      </c>
      <c r="M55" s="72">
        <f>'[1]Admin by Month'!L54+'[1]Membership by Month'!L55+'[1]Education by Month'!L55</f>
        <v>1344.8</v>
      </c>
      <c r="N55" s="72">
        <f>'[1]Admin by Month'!M54+'[1]Membership by Month'!M55+'[1]Education by Month'!M55</f>
        <v>1344.8</v>
      </c>
      <c r="O55" s="72">
        <f>'[1]Admin by Month'!N54+'[1]Membership by Month'!N55+'[1]Education by Month'!N55</f>
        <v>1344.8</v>
      </c>
      <c r="P55" s="72">
        <f>'[1]Admin by Month'!O54+'[1]Membership by Month'!O55+'[1]Education by Month'!O55</f>
        <v>1344.8</v>
      </c>
      <c r="Q55" s="72">
        <f>'[1]Admin by Month'!P54+'[1]Membership by Month'!P55+'[1]Education by Month'!P55</f>
        <v>1378.42</v>
      </c>
      <c r="R55" s="72">
        <f>'[1]Admin by Month'!Q54+'[1]Membership by Month'!Q55+'[1]Education by Month'!Q55</f>
        <v>1378.42</v>
      </c>
      <c r="S55" s="72">
        <f>'[1]Admin by Month'!R54+'[1]Membership by Month'!R55+'[1]Education by Month'!R55</f>
        <v>1378.42</v>
      </c>
      <c r="T55" s="72">
        <f>'[1]Admin by Month'!S54+'[1]Membership by Month'!S55+'[1]Education by Month'!S55</f>
        <v>1378.42</v>
      </c>
      <c r="U55" s="72">
        <f>'[1]Admin by Month'!T54+'[1]Membership by Month'!T55+'[1]Education by Month'!T55</f>
        <v>1378.42</v>
      </c>
      <c r="V55" s="72">
        <f>'[1]Admin by Month'!U54+'[1]Membership by Month'!U55+'[1]Education by Month'!U55</f>
        <v>1378.1000000000001</v>
      </c>
      <c r="W55" s="72">
        <f t="shared" si="29"/>
        <v>16339.000000000002</v>
      </c>
      <c r="Y55" s="74">
        <f t="shared" si="2"/>
        <v>0</v>
      </c>
    </row>
    <row r="56" spans="1:25" x14ac:dyDescent="0.35">
      <c r="A56" t="s">
        <v>191</v>
      </c>
      <c r="B56" s="16" t="s">
        <v>268</v>
      </c>
      <c r="C56" s="73">
        <v>1015</v>
      </c>
      <c r="D56" s="73">
        <v>0</v>
      </c>
      <c r="E56" s="73">
        <v>0</v>
      </c>
      <c r="F56" s="72">
        <f t="shared" si="25"/>
        <v>1015</v>
      </c>
      <c r="K56" s="72">
        <f>'[1]Admin by Month'!J55+'[1]Membership by Month'!J56+'[1]Education by Month'!J56</f>
        <v>34.58</v>
      </c>
      <c r="L56" s="72">
        <f>'[1]Admin by Month'!K55+'[1]Membership by Month'!K56+'[1]Education by Month'!K56</f>
        <v>634.58000000000004</v>
      </c>
      <c r="M56" s="72">
        <f>'[1]Admin by Month'!L55+'[1]Membership by Month'!L56+'[1]Education by Month'!L56</f>
        <v>34.58</v>
      </c>
      <c r="N56" s="72">
        <f>'[1]Admin by Month'!M55+'[1]Membership by Month'!M56+'[1]Education by Month'!M56</f>
        <v>34.58</v>
      </c>
      <c r="O56" s="72">
        <f>'[1]Admin by Month'!N55+'[1]Membership by Month'!N56+'[1]Education by Month'!N56</f>
        <v>34.58</v>
      </c>
      <c r="P56" s="72">
        <f>'[1]Admin by Month'!O55+'[1]Membership by Month'!O56+'[1]Education by Month'!O56</f>
        <v>34.58</v>
      </c>
      <c r="Q56" s="72">
        <f>'[1]Admin by Month'!P55+'[1]Membership by Month'!P56+'[1]Education by Month'!P56</f>
        <v>34.58</v>
      </c>
      <c r="R56" s="72">
        <f>'[1]Admin by Month'!Q55+'[1]Membership by Month'!Q56+'[1]Education by Month'!Q56</f>
        <v>34.58</v>
      </c>
      <c r="S56" s="72">
        <f>'[1]Admin by Month'!R55+'[1]Membership by Month'!R56+'[1]Education by Month'!R56</f>
        <v>34.58</v>
      </c>
      <c r="T56" s="72">
        <f>'[1]Admin by Month'!S55+'[1]Membership by Month'!S56+'[1]Education by Month'!S56</f>
        <v>34.58</v>
      </c>
      <c r="U56" s="72">
        <f>'[1]Admin by Month'!T55+'[1]Membership by Month'!T56+'[1]Education by Month'!T56</f>
        <v>34.58</v>
      </c>
      <c r="V56" s="72">
        <f>'[1]Admin by Month'!U55+'[1]Membership by Month'!U56+'[1]Education by Month'!U56</f>
        <v>34.619999999999997</v>
      </c>
      <c r="W56" s="72">
        <f t="shared" si="29"/>
        <v>1015.0000000000005</v>
      </c>
      <c r="Y56" s="74">
        <f t="shared" si="2"/>
        <v>0</v>
      </c>
    </row>
    <row r="57" spans="1:25" x14ac:dyDescent="0.35">
      <c r="A57" t="s">
        <v>191</v>
      </c>
      <c r="B57" s="16" t="s">
        <v>269</v>
      </c>
      <c r="C57" s="73">
        <v>4305</v>
      </c>
      <c r="D57" s="73">
        <v>2000</v>
      </c>
      <c r="E57" s="73">
        <v>0</v>
      </c>
      <c r="F57" s="72">
        <f t="shared" si="25"/>
        <v>6305</v>
      </c>
      <c r="K57" s="72">
        <f>'[1]Admin by Month'!J56+'[1]Membership by Month'!J57+'[1]Education by Month'!J57</f>
        <v>333.33</v>
      </c>
      <c r="L57" s="72">
        <f>'[1]Admin by Month'!K56+'[1]Membership by Month'!K57+'[1]Education by Month'!K57</f>
        <v>371.65</v>
      </c>
      <c r="M57" s="72">
        <f>'[1]Admin by Month'!L56+'[1]Membership by Month'!L57+'[1]Education by Month'!L57</f>
        <v>333.33</v>
      </c>
      <c r="N57" s="72">
        <f>'[1]Admin by Month'!M56+'[1]Membership by Month'!M57+'[1]Education by Month'!M57</f>
        <v>371.65</v>
      </c>
      <c r="O57" s="72">
        <f>'[1]Admin by Month'!N56+'[1]Membership by Month'!N57+'[1]Education by Month'!N57</f>
        <v>333.33</v>
      </c>
      <c r="P57" s="72">
        <f>'[1]Admin by Month'!O56+'[1]Membership by Month'!O57+'[1]Education by Month'!O57</f>
        <v>371.65</v>
      </c>
      <c r="Q57" s="72">
        <f>'[1]Admin by Month'!P56+'[1]Membership by Month'!P57+'[1]Education by Month'!P57</f>
        <v>333.33</v>
      </c>
      <c r="R57" s="72">
        <f>'[1]Admin by Month'!Q56+'[1]Membership by Month'!Q57+'[1]Education by Month'!Q57</f>
        <v>371.65</v>
      </c>
      <c r="S57" s="72">
        <f>'[1]Admin by Month'!R56+'[1]Membership by Month'!R57+'[1]Education by Month'!R57</f>
        <v>408.33</v>
      </c>
      <c r="T57" s="72">
        <f>'[1]Admin by Month'!S56+'[1]Membership by Month'!S57+'[1]Education by Month'!S57</f>
        <v>2371.65</v>
      </c>
      <c r="U57" s="72">
        <f>'[1]Admin by Month'!T56+'[1]Membership by Month'!T57+'[1]Education by Month'!T57</f>
        <v>333.33</v>
      </c>
      <c r="V57" s="72">
        <f>'[1]Admin by Month'!U56+'[1]Membership by Month'!U57+'[1]Education by Month'!U57</f>
        <v>371.77</v>
      </c>
      <c r="W57" s="72">
        <f t="shared" si="29"/>
        <v>6305</v>
      </c>
      <c r="Y57" s="74">
        <f t="shared" si="2"/>
        <v>0</v>
      </c>
    </row>
    <row r="58" spans="1:25" x14ac:dyDescent="0.35">
      <c r="A58" t="s">
        <v>191</v>
      </c>
      <c r="B58" s="16" t="s">
        <v>270</v>
      </c>
      <c r="C58" s="73">
        <v>144</v>
      </c>
      <c r="D58" s="73">
        <v>250</v>
      </c>
      <c r="E58" s="73">
        <v>0</v>
      </c>
      <c r="F58" s="72">
        <f t="shared" si="25"/>
        <v>394</v>
      </c>
      <c r="K58" s="72">
        <f>'[1]Admin by Month'!J57+'[1]Membership by Month'!J58+'[1]Education by Month'!J58</f>
        <v>262</v>
      </c>
      <c r="L58" s="72">
        <f>'[1]Admin by Month'!K57+'[1]Membership by Month'!K58+'[1]Education by Month'!K58</f>
        <v>12</v>
      </c>
      <c r="M58" s="72">
        <f>'[1]Admin by Month'!L57+'[1]Membership by Month'!L58+'[1]Education by Month'!L58</f>
        <v>12</v>
      </c>
      <c r="N58" s="72">
        <f>'[1]Admin by Month'!M57+'[1]Membership by Month'!M58+'[1]Education by Month'!M58</f>
        <v>12</v>
      </c>
      <c r="O58" s="72">
        <f>'[1]Admin by Month'!N57+'[1]Membership by Month'!N58+'[1]Education by Month'!N58</f>
        <v>12</v>
      </c>
      <c r="P58" s="72">
        <f>'[1]Admin by Month'!O57+'[1]Membership by Month'!O58+'[1]Education by Month'!O58</f>
        <v>12</v>
      </c>
      <c r="Q58" s="72">
        <f>'[1]Admin by Month'!P57+'[1]Membership by Month'!P58+'[1]Education by Month'!P58</f>
        <v>12</v>
      </c>
      <c r="R58" s="72">
        <f>'[1]Admin by Month'!Q57+'[1]Membership by Month'!Q58+'[1]Education by Month'!Q58</f>
        <v>12</v>
      </c>
      <c r="S58" s="72">
        <f>'[1]Admin by Month'!R57+'[1]Membership by Month'!R58+'[1]Education by Month'!R58</f>
        <v>12</v>
      </c>
      <c r="T58" s="72">
        <f>'[1]Admin by Month'!S57+'[1]Membership by Month'!S58+'[1]Education by Month'!S58</f>
        <v>12</v>
      </c>
      <c r="U58" s="72">
        <f>'[1]Admin by Month'!T57+'[1]Membership by Month'!T58+'[1]Education by Month'!T58</f>
        <v>12</v>
      </c>
      <c r="V58" s="72">
        <f>'[1]Admin by Month'!U57+'[1]Membership by Month'!U58+'[1]Education by Month'!U58</f>
        <v>12</v>
      </c>
      <c r="W58" s="72">
        <f t="shared" si="29"/>
        <v>394</v>
      </c>
      <c r="Y58" s="74">
        <f t="shared" si="2"/>
        <v>0</v>
      </c>
    </row>
    <row r="59" spans="1:25" x14ac:dyDescent="0.35">
      <c r="A59" t="s">
        <v>191</v>
      </c>
      <c r="B59" s="16" t="s">
        <v>271</v>
      </c>
      <c r="C59" s="73">
        <v>0</v>
      </c>
      <c r="D59" s="73">
        <v>275</v>
      </c>
      <c r="E59" s="73">
        <v>0</v>
      </c>
      <c r="F59" s="72">
        <f t="shared" si="25"/>
        <v>275</v>
      </c>
      <c r="K59" s="72">
        <f>'[1]Admin by Month'!J58+'[1]Membership by Month'!J59+'[1]Education by Month'!J59</f>
        <v>275</v>
      </c>
      <c r="L59" s="72">
        <f>'[1]Admin by Month'!K58+'[1]Membership by Month'!K59+'[1]Education by Month'!K59</f>
        <v>0</v>
      </c>
      <c r="M59" s="72">
        <f>'[1]Admin by Month'!L58+'[1]Membership by Month'!L59+'[1]Education by Month'!L59</f>
        <v>0</v>
      </c>
      <c r="N59" s="72">
        <f>'[1]Admin by Month'!M58+'[1]Membership by Month'!M59+'[1]Education by Month'!M59</f>
        <v>0</v>
      </c>
      <c r="O59" s="72">
        <f>'[1]Admin by Month'!N58+'[1]Membership by Month'!N59+'[1]Education by Month'!N59</f>
        <v>0</v>
      </c>
      <c r="P59" s="72">
        <f>'[1]Admin by Month'!O58+'[1]Membership by Month'!O59+'[1]Education by Month'!O59</f>
        <v>0</v>
      </c>
      <c r="Q59" s="72">
        <f>'[1]Admin by Month'!P58+'[1]Membership by Month'!P59+'[1]Education by Month'!P59</f>
        <v>0</v>
      </c>
      <c r="R59" s="72">
        <f>'[1]Admin by Month'!Q58+'[1]Membership by Month'!Q59+'[1]Education by Month'!Q59</f>
        <v>0</v>
      </c>
      <c r="S59" s="72">
        <f>'[1]Admin by Month'!R58+'[1]Membership by Month'!R59+'[1]Education by Month'!R59</f>
        <v>0</v>
      </c>
      <c r="T59" s="72">
        <f>'[1]Admin by Month'!S58+'[1]Membership by Month'!S59+'[1]Education by Month'!S59</f>
        <v>0</v>
      </c>
      <c r="U59" s="72">
        <f>'[1]Admin by Month'!T58+'[1]Membership by Month'!T59+'[1]Education by Month'!T59</f>
        <v>0</v>
      </c>
      <c r="V59" s="72">
        <f>'[1]Admin by Month'!U58+'[1]Membership by Month'!U59+'[1]Education by Month'!U59</f>
        <v>0</v>
      </c>
      <c r="W59" s="72">
        <f t="shared" si="29"/>
        <v>275</v>
      </c>
      <c r="Y59" s="74">
        <f t="shared" si="2"/>
        <v>0</v>
      </c>
    </row>
    <row r="60" spans="1:25" x14ac:dyDescent="0.35">
      <c r="A60" t="s">
        <v>191</v>
      </c>
      <c r="B60" s="16" t="s">
        <v>302</v>
      </c>
      <c r="C60" s="73">
        <v>0</v>
      </c>
      <c r="D60" s="73">
        <v>0</v>
      </c>
      <c r="E60" s="73">
        <v>0</v>
      </c>
      <c r="F60" s="72">
        <f t="shared" si="25"/>
        <v>0</v>
      </c>
      <c r="K60" s="72">
        <f>'[1]Admin by Month'!J59+'[1]Membership by Month'!J60+'[1]Education by Month'!J60</f>
        <v>0</v>
      </c>
      <c r="L60" s="72">
        <f>'[1]Admin by Month'!K59+'[1]Membership by Month'!K60+'[1]Education by Month'!K60</f>
        <v>0</v>
      </c>
      <c r="M60" s="72">
        <f>'[1]Admin by Month'!L59+'[1]Membership by Month'!L60+'[1]Education by Month'!L60</f>
        <v>0</v>
      </c>
      <c r="N60" s="72">
        <f>'[1]Admin by Month'!M59+'[1]Membership by Month'!M60+'[1]Education by Month'!M60</f>
        <v>0</v>
      </c>
      <c r="O60" s="72">
        <f>'[1]Admin by Month'!N59+'[1]Membership by Month'!N60+'[1]Education by Month'!N60</f>
        <v>0</v>
      </c>
      <c r="P60" s="72">
        <f>'[1]Admin by Month'!O59+'[1]Membership by Month'!O60+'[1]Education by Month'!O60</f>
        <v>0</v>
      </c>
      <c r="Q60" s="72">
        <f>'[1]Admin by Month'!P59+'[1]Membership by Month'!P60+'[1]Education by Month'!P60</f>
        <v>0</v>
      </c>
      <c r="R60" s="72">
        <f>'[1]Admin by Month'!Q59+'[1]Membership by Month'!Q60+'[1]Education by Month'!Q60</f>
        <v>0</v>
      </c>
      <c r="S60" s="72">
        <f>'[1]Admin by Month'!R59+'[1]Membership by Month'!R60+'[1]Education by Month'!R60</f>
        <v>0</v>
      </c>
      <c r="T60" s="72">
        <f>'[1]Admin by Month'!S59+'[1]Membership by Month'!S60+'[1]Education by Month'!S60</f>
        <v>0</v>
      </c>
      <c r="U60" s="72">
        <f>'[1]Admin by Month'!T59+'[1]Membership by Month'!T60+'[1]Education by Month'!T60</f>
        <v>0</v>
      </c>
      <c r="V60" s="72">
        <f>'[1]Admin by Month'!U59+'[1]Membership by Month'!U60+'[1]Education by Month'!U60</f>
        <v>0</v>
      </c>
      <c r="W60" s="72">
        <f t="shared" si="29"/>
        <v>0</v>
      </c>
      <c r="Y60" s="74">
        <f t="shared" si="2"/>
        <v>0</v>
      </c>
    </row>
    <row r="61" spans="1:25" x14ac:dyDescent="0.35">
      <c r="A61" t="s">
        <v>191</v>
      </c>
      <c r="B61" s="16" t="s">
        <v>272</v>
      </c>
      <c r="C61" s="73"/>
      <c r="D61" s="73"/>
      <c r="E61" s="73">
        <v>16200</v>
      </c>
      <c r="F61" s="72">
        <f t="shared" si="25"/>
        <v>16200</v>
      </c>
      <c r="K61" s="72">
        <f>'[1]Admin by Month'!J60+'[1]Membership by Month'!J61+'[1]Education by Month'!J61</f>
        <v>1350</v>
      </c>
      <c r="L61" s="72">
        <f>'[1]Admin by Month'!K60+'[1]Membership by Month'!K61+'[1]Education by Month'!K61</f>
        <v>1350</v>
      </c>
      <c r="M61" s="72">
        <f>'[1]Admin by Month'!L60+'[1]Membership by Month'!L61+'[1]Education by Month'!L61</f>
        <v>1350</v>
      </c>
      <c r="N61" s="72">
        <f>'[1]Admin by Month'!M60+'[1]Membership by Month'!M61+'[1]Education by Month'!M61</f>
        <v>1350</v>
      </c>
      <c r="O61" s="72">
        <f>'[1]Admin by Month'!N60+'[1]Membership by Month'!N61+'[1]Education by Month'!N61</f>
        <v>1350</v>
      </c>
      <c r="P61" s="72">
        <f>'[1]Admin by Month'!O60+'[1]Membership by Month'!O61+'[1]Education by Month'!O61</f>
        <v>1350</v>
      </c>
      <c r="Q61" s="72">
        <f>'[1]Admin by Month'!P60+'[1]Membership by Month'!P61+'[1]Education by Month'!P61</f>
        <v>1350</v>
      </c>
      <c r="R61" s="72">
        <f>'[1]Admin by Month'!Q60+'[1]Membership by Month'!Q61+'[1]Education by Month'!Q61</f>
        <v>1350</v>
      </c>
      <c r="S61" s="72">
        <f>'[1]Admin by Month'!R60+'[1]Membership by Month'!R61+'[1]Education by Month'!R61</f>
        <v>1350</v>
      </c>
      <c r="T61" s="72">
        <f>'[1]Admin by Month'!S60+'[1]Membership by Month'!S61+'[1]Education by Month'!S61</f>
        <v>1350</v>
      </c>
      <c r="U61" s="72">
        <f>'[1]Admin by Month'!T60+'[1]Membership by Month'!T61+'[1]Education by Month'!T61</f>
        <v>1350</v>
      </c>
      <c r="V61" s="72">
        <f>'[1]Admin by Month'!U60+'[1]Membership by Month'!U61+'[1]Education by Month'!U61</f>
        <v>1350</v>
      </c>
      <c r="W61" s="72">
        <f t="shared" si="29"/>
        <v>16200</v>
      </c>
      <c r="Y61" s="74">
        <f t="shared" si="2"/>
        <v>0</v>
      </c>
    </row>
    <row r="62" spans="1:25" x14ac:dyDescent="0.35">
      <c r="A62" t="s">
        <v>191</v>
      </c>
      <c r="B62" s="16" t="s">
        <v>273</v>
      </c>
      <c r="C62" s="73">
        <v>12860</v>
      </c>
      <c r="D62" s="73">
        <v>0</v>
      </c>
      <c r="E62" s="73">
        <v>0</v>
      </c>
      <c r="F62" s="72">
        <f t="shared" si="25"/>
        <v>12860</v>
      </c>
      <c r="K62" s="72">
        <f>'[1]Admin by Month'!J61+'[1]Membership by Month'!J62+'[1]Education by Month'!J62</f>
        <v>1066.6600000000001</v>
      </c>
      <c r="L62" s="72">
        <f>'[1]Admin by Month'!K61+'[1]Membership by Month'!K62+'[1]Education by Month'!K62</f>
        <v>1066.6600000000001</v>
      </c>
      <c r="M62" s="72">
        <f>'[1]Admin by Month'!L61+'[1]Membership by Month'!L62+'[1]Education by Month'!L62</f>
        <v>1066.6600000000001</v>
      </c>
      <c r="N62" s="72">
        <f>'[1]Admin by Month'!M61+'[1]Membership by Month'!M62+'[1]Education by Month'!M62</f>
        <v>1066.6600000000001</v>
      </c>
      <c r="O62" s="72">
        <f>'[1]Admin by Month'!N61+'[1]Membership by Month'!N62+'[1]Education by Month'!N62</f>
        <v>1066.6600000000001</v>
      </c>
      <c r="P62" s="72">
        <f>'[1]Admin by Month'!O61+'[1]Membership by Month'!O62+'[1]Education by Month'!O62</f>
        <v>1066.6600000000001</v>
      </c>
      <c r="Q62" s="72">
        <f>'[1]Admin by Month'!P61+'[1]Membership by Month'!P62+'[1]Education by Month'!P62</f>
        <v>1066.6600000000001</v>
      </c>
      <c r="R62" s="72">
        <f>'[1]Admin by Month'!Q61+'[1]Membership by Month'!Q62+'[1]Education by Month'!Q62</f>
        <v>1066.6600000000001</v>
      </c>
      <c r="S62" s="72">
        <f>'[1]Admin by Month'!R61+'[1]Membership by Month'!R62+'[1]Education by Month'!R62</f>
        <v>1066.6600000000001</v>
      </c>
      <c r="T62" s="72">
        <f>'[1]Admin by Month'!S61+'[1]Membership by Month'!S62+'[1]Education by Month'!S62</f>
        <v>1066.6600000000001</v>
      </c>
      <c r="U62" s="72">
        <f>'[1]Admin by Month'!T61+'[1]Membership by Month'!T62+'[1]Education by Month'!T62</f>
        <v>1066.6600000000001</v>
      </c>
      <c r="V62" s="72">
        <f>'[1]Admin by Month'!U61+'[1]Membership by Month'!U62+'[1]Education by Month'!U62</f>
        <v>1126.74</v>
      </c>
      <c r="W62" s="72">
        <f t="shared" si="29"/>
        <v>12860</v>
      </c>
      <c r="Y62" s="74">
        <f t="shared" si="2"/>
        <v>0</v>
      </c>
    </row>
    <row r="63" spans="1:25" x14ac:dyDescent="0.35">
      <c r="B63" s="16" t="s">
        <v>274</v>
      </c>
      <c r="C63" s="76">
        <f>SUM(C43:C62)</f>
        <v>120829</v>
      </c>
      <c r="D63" s="76">
        <f t="shared" ref="D63:F63" si="30">SUM(D43:D62)</f>
        <v>2625</v>
      </c>
      <c r="E63" s="76">
        <f t="shared" si="30"/>
        <v>16200</v>
      </c>
      <c r="F63" s="76">
        <f t="shared" si="30"/>
        <v>139654</v>
      </c>
      <c r="K63" s="76">
        <f t="shared" ref="K63:W63" si="31">SUM(K43:K62)</f>
        <v>11389.693333333333</v>
      </c>
      <c r="L63" s="76">
        <f t="shared" si="31"/>
        <v>10203.013333333332</v>
      </c>
      <c r="M63" s="76">
        <f t="shared" si="31"/>
        <v>9629.5733333333337</v>
      </c>
      <c r="N63" s="76">
        <f t="shared" si="31"/>
        <v>9667.8933333333334</v>
      </c>
      <c r="O63" s="76">
        <f t="shared" si="31"/>
        <v>9629.5733333333337</v>
      </c>
      <c r="P63" s="76">
        <f t="shared" si="31"/>
        <v>9867.8933333333334</v>
      </c>
      <c r="Q63" s="76">
        <f t="shared" si="31"/>
        <v>13988.193333333331</v>
      </c>
      <c r="R63" s="76">
        <f t="shared" si="31"/>
        <v>17801.513333333332</v>
      </c>
      <c r="S63" s="76">
        <f t="shared" si="31"/>
        <v>13137.193333333331</v>
      </c>
      <c r="T63" s="76">
        <f t="shared" si="31"/>
        <v>19614.513333333332</v>
      </c>
      <c r="U63" s="76">
        <f t="shared" si="31"/>
        <v>9663.1933333333327</v>
      </c>
      <c r="V63" s="76">
        <f t="shared" si="31"/>
        <v>5061.753333333334</v>
      </c>
      <c r="W63" s="76">
        <f t="shared" si="31"/>
        <v>139654</v>
      </c>
      <c r="Y63" s="74">
        <f t="shared" si="2"/>
        <v>0</v>
      </c>
    </row>
    <row r="64" spans="1:25" x14ac:dyDescent="0.35">
      <c r="A64" t="s">
        <v>218</v>
      </c>
      <c r="B64" s="16" t="s">
        <v>275</v>
      </c>
      <c r="C64" s="71"/>
      <c r="D64" s="71"/>
      <c r="E64" s="71"/>
      <c r="F64" s="72">
        <f t="shared" si="25"/>
        <v>0</v>
      </c>
      <c r="K64" s="71"/>
      <c r="L64" s="71"/>
      <c r="M64" s="71"/>
      <c r="N64" s="72"/>
      <c r="O64" s="71"/>
      <c r="P64" s="71"/>
      <c r="Q64" s="71"/>
      <c r="R64" s="72"/>
      <c r="S64" s="71"/>
      <c r="T64" s="71"/>
      <c r="U64" s="71"/>
      <c r="V64" s="72"/>
      <c r="W64" s="71"/>
      <c r="Y64" s="74">
        <f t="shared" si="2"/>
        <v>0</v>
      </c>
    </row>
    <row r="65" spans="1:25" x14ac:dyDescent="0.35">
      <c r="A65" t="s">
        <v>218</v>
      </c>
      <c r="B65" s="16" t="s">
        <v>276</v>
      </c>
      <c r="C65" s="73">
        <v>378000</v>
      </c>
      <c r="D65" s="73">
        <v>0</v>
      </c>
      <c r="E65" s="73">
        <v>0</v>
      </c>
      <c r="F65" s="72">
        <f t="shared" si="25"/>
        <v>378000</v>
      </c>
      <c r="K65" s="72">
        <f>'[1]Admin by Month'!J64+'[1]Membership by Month'!J65+'[1]Education by Month'!J65</f>
        <v>31500</v>
      </c>
      <c r="L65" s="72">
        <f>'[1]Admin by Month'!K64+'[1]Membership by Month'!K65+'[1]Education by Month'!K65</f>
        <v>31500</v>
      </c>
      <c r="M65" s="72">
        <f>'[1]Admin by Month'!L64+'[1]Membership by Month'!L65+'[1]Education by Month'!L65</f>
        <v>31500</v>
      </c>
      <c r="N65" s="72">
        <f>'[1]Admin by Month'!M64+'[1]Membership by Month'!M65+'[1]Education by Month'!M65</f>
        <v>31500</v>
      </c>
      <c r="O65" s="72">
        <f>'[1]Admin by Month'!N64+'[1]Membership by Month'!N65+'[1]Education by Month'!N65</f>
        <v>31500</v>
      </c>
      <c r="P65" s="72">
        <f>'[1]Admin by Month'!O64+'[1]Membership by Month'!O65+'[1]Education by Month'!O65</f>
        <v>31500</v>
      </c>
      <c r="Q65" s="72">
        <f>'[1]Admin by Month'!P64+'[1]Membership by Month'!P65+'[1]Education by Month'!P65</f>
        <v>31500</v>
      </c>
      <c r="R65" s="72">
        <f>'[1]Admin by Month'!Q64+'[1]Membership by Month'!Q65+'[1]Education by Month'!Q65</f>
        <v>31500</v>
      </c>
      <c r="S65" s="72">
        <f>'[1]Admin by Month'!R64+'[1]Membership by Month'!R65+'[1]Education by Month'!R65</f>
        <v>31500</v>
      </c>
      <c r="T65" s="72">
        <f>'[1]Admin by Month'!S64+'[1]Membership by Month'!S65+'[1]Education by Month'!S65</f>
        <v>31500</v>
      </c>
      <c r="U65" s="72">
        <f>'[1]Admin by Month'!T64+'[1]Membership by Month'!T65+'[1]Education by Month'!T65</f>
        <v>31500</v>
      </c>
      <c r="V65" s="72">
        <f>'[1]Admin by Month'!U64+'[1]Membership by Month'!U65+'[1]Education by Month'!U65</f>
        <v>31500</v>
      </c>
      <c r="W65" s="72">
        <f t="shared" ref="W65:W68" si="32">SUM(K65:V65)</f>
        <v>378000</v>
      </c>
      <c r="Y65" s="74">
        <f t="shared" si="2"/>
        <v>0</v>
      </c>
    </row>
    <row r="66" spans="1:25" x14ac:dyDescent="0.35">
      <c r="A66" t="s">
        <v>218</v>
      </c>
      <c r="B66" s="16" t="s">
        <v>277</v>
      </c>
      <c r="C66" s="73">
        <v>30578</v>
      </c>
      <c r="D66" s="73">
        <v>0</v>
      </c>
      <c r="E66" s="73">
        <v>0</v>
      </c>
      <c r="F66" s="72">
        <f t="shared" si="25"/>
        <v>30578</v>
      </c>
      <c r="K66" s="72">
        <f>'[1]Admin by Month'!J65+'[1]Membership by Month'!J66+'[1]Education by Month'!J66</f>
        <v>2548.1666666666665</v>
      </c>
      <c r="L66" s="72">
        <f>'[1]Admin by Month'!K65+'[1]Membership by Month'!K66+'[1]Education by Month'!K66</f>
        <v>2548.1666666666665</v>
      </c>
      <c r="M66" s="72">
        <f>'[1]Admin by Month'!L65+'[1]Membership by Month'!L66+'[1]Education by Month'!L66</f>
        <v>2548.1666666666665</v>
      </c>
      <c r="N66" s="72">
        <f>'[1]Admin by Month'!M65+'[1]Membership by Month'!M66+'[1]Education by Month'!M66</f>
        <v>2548.1666666666665</v>
      </c>
      <c r="O66" s="72">
        <f>'[1]Admin by Month'!N65+'[1]Membership by Month'!N66+'[1]Education by Month'!N66</f>
        <v>2548.1666666666665</v>
      </c>
      <c r="P66" s="72">
        <f>'[1]Admin by Month'!O65+'[1]Membership by Month'!O66+'[1]Education by Month'!O66</f>
        <v>2548.1666666666665</v>
      </c>
      <c r="Q66" s="72">
        <f>'[1]Admin by Month'!P65+'[1]Membership by Month'!P66+'[1]Education by Month'!P66</f>
        <v>2548.1666666666665</v>
      </c>
      <c r="R66" s="72">
        <f>'[1]Admin by Month'!Q65+'[1]Membership by Month'!Q66+'[1]Education by Month'!Q66</f>
        <v>2548.1666666666665</v>
      </c>
      <c r="S66" s="72">
        <f>'[1]Admin by Month'!R65+'[1]Membership by Month'!R66+'[1]Education by Month'!R66</f>
        <v>2548.1666666666665</v>
      </c>
      <c r="T66" s="72">
        <f>'[1]Admin by Month'!S65+'[1]Membership by Month'!S66+'[1]Education by Month'!S66</f>
        <v>2548.1666666666665</v>
      </c>
      <c r="U66" s="72">
        <f>'[1]Admin by Month'!T65+'[1]Membership by Month'!T66+'[1]Education by Month'!T66</f>
        <v>2548.1666666666665</v>
      </c>
      <c r="V66" s="72">
        <f>'[1]Admin by Month'!U65+'[1]Membership by Month'!U66+'[1]Education by Month'!U66</f>
        <v>2548.1666666666665</v>
      </c>
      <c r="W66" s="72">
        <f t="shared" si="32"/>
        <v>30578.000000000004</v>
      </c>
      <c r="Y66" s="74">
        <f t="shared" si="2"/>
        <v>0</v>
      </c>
    </row>
    <row r="67" spans="1:25" x14ac:dyDescent="0.35">
      <c r="A67" t="s">
        <v>218</v>
      </c>
      <c r="B67" s="16" t="s">
        <v>303</v>
      </c>
      <c r="C67" s="72"/>
      <c r="D67" s="72"/>
      <c r="E67" s="72"/>
      <c r="F67" s="72">
        <f t="shared" si="25"/>
        <v>0</v>
      </c>
      <c r="K67" s="72">
        <f>'[1]Admin by Month'!J67+'[1]Membership by Month'!J67+'[1]Education by Month'!J67</f>
        <v>0</v>
      </c>
      <c r="L67" s="72">
        <f>'[1]Admin by Month'!K67+'[1]Membership by Month'!K67+'[1]Education by Month'!K67</f>
        <v>0</v>
      </c>
      <c r="M67" s="72">
        <f>'[1]Admin by Month'!L67+'[1]Membership by Month'!L67+'[1]Education by Month'!L67</f>
        <v>0</v>
      </c>
      <c r="N67" s="72">
        <f>'[1]Admin by Month'!M67+'[1]Membership by Month'!M67+'[1]Education by Month'!M67</f>
        <v>0</v>
      </c>
      <c r="O67" s="72">
        <f>'[1]Admin by Month'!N67+'[1]Membership by Month'!N67+'[1]Education by Month'!N67</f>
        <v>0</v>
      </c>
      <c r="P67" s="72">
        <f>'[1]Admin by Month'!O67+'[1]Membership by Month'!O67+'[1]Education by Month'!O67</f>
        <v>0</v>
      </c>
      <c r="Q67" s="72">
        <f>'[1]Admin by Month'!P67+'[1]Membership by Month'!P67+'[1]Education by Month'!P67</f>
        <v>0</v>
      </c>
      <c r="R67" s="72">
        <f>'[1]Admin by Month'!Q67+'[1]Membership by Month'!Q67+'[1]Education by Month'!Q67</f>
        <v>0</v>
      </c>
      <c r="S67" s="72">
        <f>'[1]Admin by Month'!R67+'[1]Membership by Month'!R67+'[1]Education by Month'!R67</f>
        <v>0</v>
      </c>
      <c r="T67" s="72">
        <f>'[1]Admin by Month'!S67+'[1]Membership by Month'!S67+'[1]Education by Month'!S67</f>
        <v>0</v>
      </c>
      <c r="U67" s="72">
        <f>'[1]Admin by Month'!T67+'[1]Membership by Month'!T67+'[1]Education by Month'!T67</f>
        <v>0</v>
      </c>
      <c r="V67" s="72">
        <f>'[1]Admin by Month'!U67+'[1]Membership by Month'!U67+'[1]Education by Month'!U67</f>
        <v>0</v>
      </c>
      <c r="W67" s="72">
        <f t="shared" si="32"/>
        <v>0</v>
      </c>
      <c r="Y67" s="74">
        <f t="shared" si="2"/>
        <v>0</v>
      </c>
    </row>
    <row r="68" spans="1:25" x14ac:dyDescent="0.35">
      <c r="A68" t="s">
        <v>218</v>
      </c>
      <c r="B68" s="16" t="s">
        <v>278</v>
      </c>
      <c r="C68" s="73">
        <v>1540</v>
      </c>
      <c r="D68" s="73">
        <v>0</v>
      </c>
      <c r="E68" s="73">
        <v>0</v>
      </c>
      <c r="F68" s="72">
        <f t="shared" si="25"/>
        <v>1540</v>
      </c>
      <c r="K68" s="72">
        <f>'[1]Admin by Month'!J68+'[1]Membership by Month'!J68+'[1]Education by Month'!J68</f>
        <v>128.33333333333334</v>
      </c>
      <c r="L68" s="72">
        <f>'[1]Admin by Month'!K68+'[1]Membership by Month'!K68+'[1]Education by Month'!K68</f>
        <v>128.33333333333334</v>
      </c>
      <c r="M68" s="72">
        <f>'[1]Admin by Month'!L68+'[1]Membership by Month'!L68+'[1]Education by Month'!L68</f>
        <v>128.33333333333334</v>
      </c>
      <c r="N68" s="72">
        <f>'[1]Admin by Month'!M68+'[1]Membership by Month'!M68+'[1]Education by Month'!M68</f>
        <v>128.33333333333334</v>
      </c>
      <c r="O68" s="72">
        <f>'[1]Admin by Month'!N68+'[1]Membership by Month'!N68+'[1]Education by Month'!N68</f>
        <v>128.33333333333334</v>
      </c>
      <c r="P68" s="72">
        <f>'[1]Admin by Month'!O68+'[1]Membership by Month'!O68+'[1]Education by Month'!O68</f>
        <v>128.33333333333334</v>
      </c>
      <c r="Q68" s="72">
        <f>'[1]Admin by Month'!P68+'[1]Membership by Month'!P68+'[1]Education by Month'!P68</f>
        <v>128.33333333333334</v>
      </c>
      <c r="R68" s="72">
        <f>'[1]Admin by Month'!Q68+'[1]Membership by Month'!Q68+'[1]Education by Month'!Q68</f>
        <v>128.33333333333334</v>
      </c>
      <c r="S68" s="72">
        <f>'[1]Admin by Month'!R68+'[1]Membership by Month'!R68+'[1]Education by Month'!R68</f>
        <v>128.33333333333334</v>
      </c>
      <c r="T68" s="72">
        <f>'[1]Admin by Month'!S68+'[1]Membership by Month'!S68+'[1]Education by Month'!S68</f>
        <v>128.33333333333334</v>
      </c>
      <c r="U68" s="72">
        <f>'[1]Admin by Month'!T68+'[1]Membership by Month'!T68+'[1]Education by Month'!T68</f>
        <v>128.33333333333334</v>
      </c>
      <c r="V68" s="72">
        <f>'[1]Admin by Month'!U68+'[1]Membership by Month'!U68+'[1]Education by Month'!U68</f>
        <v>128.33333333333334</v>
      </c>
      <c r="W68" s="72">
        <f t="shared" si="32"/>
        <v>1539.9999999999998</v>
      </c>
      <c r="Y68" s="74">
        <f t="shared" si="2"/>
        <v>0</v>
      </c>
    </row>
    <row r="69" spans="1:25" x14ac:dyDescent="0.35">
      <c r="B69" s="16" t="s">
        <v>279</v>
      </c>
      <c r="C69" s="76">
        <f>SUM(C64:C68)</f>
        <v>410118</v>
      </c>
      <c r="D69" s="76">
        <f t="shared" ref="D69:F69" si="33">SUM(D64:D68)</f>
        <v>0</v>
      </c>
      <c r="E69" s="76">
        <f t="shared" si="33"/>
        <v>0</v>
      </c>
      <c r="F69" s="76">
        <f t="shared" si="33"/>
        <v>410118</v>
      </c>
      <c r="G69" s="3">
        <v>410118</v>
      </c>
      <c r="H69" s="3">
        <f>F69-G69</f>
        <v>0</v>
      </c>
      <c r="K69" s="76">
        <f t="shared" ref="K69:W69" si="34">SUM(K64:K68)</f>
        <v>34176.5</v>
      </c>
      <c r="L69" s="76">
        <f t="shared" si="34"/>
        <v>34176.5</v>
      </c>
      <c r="M69" s="76">
        <f t="shared" si="34"/>
        <v>34176.5</v>
      </c>
      <c r="N69" s="76">
        <f t="shared" si="34"/>
        <v>34176.5</v>
      </c>
      <c r="O69" s="76">
        <f t="shared" si="34"/>
        <v>34176.5</v>
      </c>
      <c r="P69" s="76">
        <f t="shared" si="34"/>
        <v>34176.5</v>
      </c>
      <c r="Q69" s="76">
        <f t="shared" si="34"/>
        <v>34176.5</v>
      </c>
      <c r="R69" s="76">
        <f t="shared" si="34"/>
        <v>34176.5</v>
      </c>
      <c r="S69" s="76">
        <f t="shared" si="34"/>
        <v>34176.5</v>
      </c>
      <c r="T69" s="76">
        <f t="shared" si="34"/>
        <v>34176.5</v>
      </c>
      <c r="U69" s="76">
        <f t="shared" si="34"/>
        <v>34176.5</v>
      </c>
      <c r="V69" s="76">
        <f t="shared" si="34"/>
        <v>34176.5</v>
      </c>
      <c r="W69" s="76">
        <f t="shared" si="34"/>
        <v>410118</v>
      </c>
      <c r="Y69" s="74">
        <f t="shared" si="2"/>
        <v>0</v>
      </c>
    </row>
    <row r="70" spans="1:25" x14ac:dyDescent="0.35">
      <c r="A70" t="s">
        <v>188</v>
      </c>
      <c r="B70" s="16" t="s">
        <v>280</v>
      </c>
      <c r="C70" s="71"/>
      <c r="D70" s="71"/>
      <c r="E70" s="71"/>
      <c r="F70" s="72">
        <f t="shared" si="25"/>
        <v>0</v>
      </c>
      <c r="K70" s="71"/>
      <c r="L70" s="71"/>
      <c r="M70" s="71"/>
      <c r="N70" s="72"/>
      <c r="O70" s="71"/>
      <c r="P70" s="71"/>
      <c r="Q70" s="71"/>
      <c r="R70" s="72"/>
      <c r="S70" s="71"/>
      <c r="T70" s="71"/>
      <c r="U70" s="71"/>
      <c r="V70" s="72"/>
      <c r="W70" s="71"/>
      <c r="Y70" s="74">
        <f t="shared" si="2"/>
        <v>0</v>
      </c>
    </row>
    <row r="71" spans="1:25" x14ac:dyDescent="0.35">
      <c r="A71" t="s">
        <v>188</v>
      </c>
      <c r="B71" s="16" t="s">
        <v>281</v>
      </c>
      <c r="C71" s="75">
        <v>1020</v>
      </c>
      <c r="D71" s="75">
        <v>0</v>
      </c>
      <c r="E71" s="75">
        <v>0</v>
      </c>
      <c r="F71" s="72">
        <f t="shared" si="25"/>
        <v>1020</v>
      </c>
      <c r="K71" s="72">
        <f>'[1]Admin by Month'!J71+'[1]Membership by Month'!J71+'[1]Education by Month'!J71</f>
        <v>85</v>
      </c>
      <c r="L71" s="72">
        <f>'[1]Admin by Month'!K71+'[1]Membership by Month'!K71+'[1]Education by Month'!K71</f>
        <v>85</v>
      </c>
      <c r="M71" s="72">
        <f>'[1]Admin by Month'!L71+'[1]Membership by Month'!L71+'[1]Education by Month'!L71</f>
        <v>85</v>
      </c>
      <c r="N71" s="72">
        <f>'[1]Admin by Month'!M71+'[1]Membership by Month'!M71+'[1]Education by Month'!M71</f>
        <v>85</v>
      </c>
      <c r="O71" s="72">
        <f>'[1]Admin by Month'!N71+'[1]Membership by Month'!N71+'[1]Education by Month'!N71</f>
        <v>85</v>
      </c>
      <c r="P71" s="72">
        <f>'[1]Admin by Month'!O71+'[1]Membership by Month'!O71+'[1]Education by Month'!O71</f>
        <v>85</v>
      </c>
      <c r="Q71" s="72">
        <f>'[1]Admin by Month'!P71+'[1]Membership by Month'!P71+'[1]Education by Month'!P71</f>
        <v>85</v>
      </c>
      <c r="R71" s="72">
        <f>'[1]Admin by Month'!Q71+'[1]Membership by Month'!Q71+'[1]Education by Month'!Q71</f>
        <v>85</v>
      </c>
      <c r="S71" s="72">
        <f>'[1]Admin by Month'!R71+'[1]Membership by Month'!R71+'[1]Education by Month'!R71</f>
        <v>85</v>
      </c>
      <c r="T71" s="72">
        <f>'[1]Admin by Month'!S71+'[1]Membership by Month'!S71+'[1]Education by Month'!S71</f>
        <v>85</v>
      </c>
      <c r="U71" s="72">
        <f>'[1]Admin by Month'!T71+'[1]Membership by Month'!T71+'[1]Education by Month'!T71</f>
        <v>85</v>
      </c>
      <c r="V71" s="72">
        <f>'[1]Admin by Month'!U71+'[1]Membership by Month'!U71+'[1]Education by Month'!U71</f>
        <v>85</v>
      </c>
      <c r="W71" s="72">
        <f t="shared" ref="W71:W75" si="35">SUM(K71:V71)</f>
        <v>1020</v>
      </c>
      <c r="Y71" s="74">
        <f t="shared" si="2"/>
        <v>0</v>
      </c>
    </row>
    <row r="72" spans="1:25" x14ac:dyDescent="0.35">
      <c r="A72" t="s">
        <v>188</v>
      </c>
      <c r="B72" s="16" t="s">
        <v>282</v>
      </c>
      <c r="C72" s="73">
        <v>79920</v>
      </c>
      <c r="D72" s="73">
        <v>0</v>
      </c>
      <c r="E72" s="73">
        <v>0</v>
      </c>
      <c r="F72" s="72">
        <f t="shared" si="25"/>
        <v>79920</v>
      </c>
      <c r="K72" s="72">
        <f>'[1]Admin by Month'!J72+'[1]Membership by Month'!J72+'[1]Education by Month'!J72</f>
        <v>6660</v>
      </c>
      <c r="L72" s="72">
        <f>'[1]Admin by Month'!K72+'[1]Membership by Month'!K72+'[1]Education by Month'!K72</f>
        <v>6660</v>
      </c>
      <c r="M72" s="72">
        <f>'[1]Admin by Month'!L72+'[1]Membership by Month'!L72+'[1]Education by Month'!L72</f>
        <v>6660</v>
      </c>
      <c r="N72" s="72">
        <f>'[1]Admin by Month'!M72+'[1]Membership by Month'!M72+'[1]Education by Month'!M72</f>
        <v>6660</v>
      </c>
      <c r="O72" s="72">
        <f>'[1]Admin by Month'!N72+'[1]Membership by Month'!N72+'[1]Education by Month'!N72</f>
        <v>6660</v>
      </c>
      <c r="P72" s="72">
        <f>'[1]Admin by Month'!O72+'[1]Membership by Month'!O72+'[1]Education by Month'!O72</f>
        <v>6660</v>
      </c>
      <c r="Q72" s="72">
        <f>'[1]Admin by Month'!P72+'[1]Membership by Month'!P72+'[1]Education by Month'!P72</f>
        <v>6660</v>
      </c>
      <c r="R72" s="72">
        <f>'[1]Admin by Month'!Q72+'[1]Membership by Month'!Q72+'[1]Education by Month'!Q72</f>
        <v>6660</v>
      </c>
      <c r="S72" s="72">
        <f>'[1]Admin by Month'!R72+'[1]Membership by Month'!R72+'[1]Education by Month'!R72</f>
        <v>6660</v>
      </c>
      <c r="T72" s="72">
        <f>'[1]Admin by Month'!S72+'[1]Membership by Month'!S72+'[1]Education by Month'!S72</f>
        <v>6660</v>
      </c>
      <c r="U72" s="72">
        <f>'[1]Admin by Month'!T72+'[1]Membership by Month'!T72+'[1]Education by Month'!T72</f>
        <v>6660</v>
      </c>
      <c r="V72" s="72">
        <f>'[1]Admin by Month'!U72+'[1]Membership by Month'!U72+'[1]Education by Month'!U72</f>
        <v>6660</v>
      </c>
      <c r="W72" s="72">
        <f t="shared" si="35"/>
        <v>79920</v>
      </c>
      <c r="Y72" s="74">
        <f t="shared" si="2"/>
        <v>0</v>
      </c>
    </row>
    <row r="73" spans="1:25" x14ac:dyDescent="0.35">
      <c r="A73" t="s">
        <v>188</v>
      </c>
      <c r="B73" s="16" t="s">
        <v>283</v>
      </c>
      <c r="C73" s="73">
        <v>500</v>
      </c>
      <c r="D73" s="73">
        <v>0</v>
      </c>
      <c r="E73" s="73">
        <v>0</v>
      </c>
      <c r="F73" s="72">
        <f t="shared" si="25"/>
        <v>500</v>
      </c>
      <c r="K73" s="72">
        <f>'[1]Admin by Month'!J73+'[1]Membership by Month'!J73+'[1]Education by Month'!J73</f>
        <v>41.666666666666664</v>
      </c>
      <c r="L73" s="72">
        <f>'[1]Admin by Month'!K73+'[1]Membership by Month'!K73+'[1]Education by Month'!K73</f>
        <v>41.666666666666664</v>
      </c>
      <c r="M73" s="72">
        <f>'[1]Admin by Month'!L73+'[1]Membership by Month'!L73+'[1]Education by Month'!L73</f>
        <v>41.666666666666664</v>
      </c>
      <c r="N73" s="72">
        <f>'[1]Admin by Month'!M73+'[1]Membership by Month'!M73+'[1]Education by Month'!M73</f>
        <v>41.666666666666664</v>
      </c>
      <c r="O73" s="72">
        <f>'[1]Admin by Month'!N73+'[1]Membership by Month'!N73+'[1]Education by Month'!N73</f>
        <v>41.666666666666664</v>
      </c>
      <c r="P73" s="72">
        <f>'[1]Admin by Month'!O73+'[1]Membership by Month'!O73+'[1]Education by Month'!O73</f>
        <v>41.666666666666664</v>
      </c>
      <c r="Q73" s="72">
        <f>'[1]Admin by Month'!P73+'[1]Membership by Month'!P73+'[1]Education by Month'!P73</f>
        <v>41.666666666666664</v>
      </c>
      <c r="R73" s="72">
        <f>'[1]Admin by Month'!Q73+'[1]Membership by Month'!Q73+'[1]Education by Month'!Q73</f>
        <v>41.666666666666664</v>
      </c>
      <c r="S73" s="72">
        <f>'[1]Admin by Month'!R73+'[1]Membership by Month'!R73+'[1]Education by Month'!R73</f>
        <v>41.666666666666664</v>
      </c>
      <c r="T73" s="72">
        <f>'[1]Admin by Month'!S73+'[1]Membership by Month'!S73+'[1]Education by Month'!S73</f>
        <v>41.666666666666664</v>
      </c>
      <c r="U73" s="72">
        <f>'[1]Admin by Month'!T73+'[1]Membership by Month'!T73+'[1]Education by Month'!T73</f>
        <v>41.666666666666664</v>
      </c>
      <c r="V73" s="72">
        <f>'[1]Admin by Month'!U73+'[1]Membership by Month'!U73+'[1]Education by Month'!U73</f>
        <v>41.666666666666664</v>
      </c>
      <c r="W73" s="72">
        <f t="shared" si="35"/>
        <v>500.00000000000006</v>
      </c>
      <c r="Y73" s="74">
        <f t="shared" ref="Y73:Y96" si="36">F73-W73</f>
        <v>0</v>
      </c>
    </row>
    <row r="74" spans="1:25" x14ac:dyDescent="0.35">
      <c r="A74" t="s">
        <v>188</v>
      </c>
      <c r="B74" s="16" t="s">
        <v>284</v>
      </c>
      <c r="C74" s="73">
        <v>300</v>
      </c>
      <c r="D74" s="73">
        <v>0</v>
      </c>
      <c r="E74" s="73">
        <v>0</v>
      </c>
      <c r="F74" s="72">
        <f t="shared" si="25"/>
        <v>300</v>
      </c>
      <c r="K74" s="72">
        <f>'[1]Admin by Month'!J74+'[1]Membership by Month'!J74+'[1]Education by Month'!J74</f>
        <v>25</v>
      </c>
      <c r="L74" s="72">
        <f>'[1]Admin by Month'!K74+'[1]Membership by Month'!K74+'[1]Education by Month'!K74</f>
        <v>25</v>
      </c>
      <c r="M74" s="72">
        <f>'[1]Admin by Month'!L74+'[1]Membership by Month'!L74+'[1]Education by Month'!L74</f>
        <v>25</v>
      </c>
      <c r="N74" s="72">
        <f>'[1]Admin by Month'!M74+'[1]Membership by Month'!M74+'[1]Education by Month'!M74</f>
        <v>25</v>
      </c>
      <c r="O74" s="72">
        <f>'[1]Admin by Month'!N74+'[1]Membership by Month'!N74+'[1]Education by Month'!N74</f>
        <v>25</v>
      </c>
      <c r="P74" s="72">
        <f>'[1]Admin by Month'!O74+'[1]Membership by Month'!O74+'[1]Education by Month'!O74</f>
        <v>25</v>
      </c>
      <c r="Q74" s="72">
        <f>'[1]Admin by Month'!P74+'[1]Membership by Month'!P74+'[1]Education by Month'!P74</f>
        <v>25</v>
      </c>
      <c r="R74" s="72">
        <f>'[1]Admin by Month'!Q74+'[1]Membership by Month'!Q74+'[1]Education by Month'!Q74</f>
        <v>25</v>
      </c>
      <c r="S74" s="72">
        <f>'[1]Admin by Month'!R74+'[1]Membership by Month'!R74+'[1]Education by Month'!R74</f>
        <v>25</v>
      </c>
      <c r="T74" s="72">
        <f>'[1]Admin by Month'!S74+'[1]Membership by Month'!S74+'[1]Education by Month'!S74</f>
        <v>25</v>
      </c>
      <c r="U74" s="72">
        <f>'[1]Admin by Month'!T74+'[1]Membership by Month'!T74+'[1]Education by Month'!T74</f>
        <v>25</v>
      </c>
      <c r="V74" s="72">
        <f>'[1]Admin by Month'!U74+'[1]Membership by Month'!U74+'[1]Education by Month'!U74</f>
        <v>25</v>
      </c>
      <c r="W74" s="72">
        <f t="shared" si="35"/>
        <v>300</v>
      </c>
      <c r="Y74" s="74">
        <f t="shared" si="36"/>
        <v>0</v>
      </c>
    </row>
    <row r="75" spans="1:25" x14ac:dyDescent="0.35">
      <c r="A75" t="s">
        <v>188</v>
      </c>
      <c r="B75" s="16" t="s">
        <v>285</v>
      </c>
      <c r="C75" s="73">
        <v>26920</v>
      </c>
      <c r="D75" s="73">
        <v>0</v>
      </c>
      <c r="E75" s="73">
        <v>0</v>
      </c>
      <c r="F75" s="72">
        <f t="shared" si="25"/>
        <v>26920</v>
      </c>
      <c r="K75" s="72">
        <f>'[1]Admin by Month'!J75+'[1]Membership by Month'!J75+'[1]Education by Month'!J75</f>
        <v>8843.33</v>
      </c>
      <c r="L75" s="72">
        <f>'[1]Admin by Month'!K75+'[1]Membership by Month'!K75+'[1]Education by Month'!K75</f>
        <v>1643.33</v>
      </c>
      <c r="M75" s="72">
        <f>'[1]Admin by Month'!L75+'[1]Membership by Month'!L75+'[1]Education by Month'!L75</f>
        <v>1643.33</v>
      </c>
      <c r="N75" s="72">
        <f>'[1]Admin by Month'!M75+'[1]Membership by Month'!M75+'[1]Education by Month'!M75</f>
        <v>1643.33</v>
      </c>
      <c r="O75" s="72">
        <f>'[1]Admin by Month'!N75+'[1]Membership by Month'!N75+'[1]Education by Month'!N75</f>
        <v>1643.33</v>
      </c>
      <c r="P75" s="72">
        <f>'[1]Admin by Month'!O75+'[1]Membership by Month'!O75+'[1]Education by Month'!O75</f>
        <v>1643.33</v>
      </c>
      <c r="Q75" s="72">
        <f>'[1]Admin by Month'!P75+'[1]Membership by Month'!P75+'[1]Education by Month'!P75</f>
        <v>1643.33</v>
      </c>
      <c r="R75" s="72">
        <f>'[1]Admin by Month'!Q75+'[1]Membership by Month'!Q75+'[1]Education by Month'!Q75</f>
        <v>1643.33</v>
      </c>
      <c r="S75" s="72">
        <f>'[1]Admin by Month'!R75+'[1]Membership by Month'!R75+'[1]Education by Month'!R75</f>
        <v>1643.33</v>
      </c>
      <c r="T75" s="72">
        <f>'[1]Admin by Month'!S75+'[1]Membership by Month'!S75+'[1]Education by Month'!S75</f>
        <v>1643.33</v>
      </c>
      <c r="U75" s="72">
        <f>'[1]Admin by Month'!T75+'[1]Membership by Month'!T75+'[1]Education by Month'!T75</f>
        <v>1643.33</v>
      </c>
      <c r="V75" s="72">
        <f>'[1]Admin by Month'!U75+'[1]Membership by Month'!U75+'[1]Education by Month'!U75</f>
        <v>1643.37</v>
      </c>
      <c r="W75" s="72">
        <f t="shared" si="35"/>
        <v>26920.000000000004</v>
      </c>
      <c r="Y75" s="74">
        <f t="shared" si="36"/>
        <v>0</v>
      </c>
    </row>
    <row r="76" spans="1:25" x14ac:dyDescent="0.35">
      <c r="B76" s="16" t="s">
        <v>286</v>
      </c>
      <c r="C76" s="76">
        <f>SUM(C70:C75)</f>
        <v>108660</v>
      </c>
      <c r="D76" s="76">
        <f t="shared" ref="D76:F76" si="37">SUM(D70:D75)</f>
        <v>0</v>
      </c>
      <c r="E76" s="76">
        <f t="shared" si="37"/>
        <v>0</v>
      </c>
      <c r="F76" s="76">
        <f t="shared" si="37"/>
        <v>108660</v>
      </c>
      <c r="G76" s="3">
        <v>108660</v>
      </c>
      <c r="H76" s="3">
        <f>F76-G76</f>
        <v>0</v>
      </c>
      <c r="K76" s="76">
        <f t="shared" ref="K76:W76" si="38">SUM(K70:K75)</f>
        <v>15654.996666666666</v>
      </c>
      <c r="L76" s="76">
        <f t="shared" si="38"/>
        <v>8454.996666666666</v>
      </c>
      <c r="M76" s="76">
        <f t="shared" si="38"/>
        <v>8454.996666666666</v>
      </c>
      <c r="N76" s="76">
        <f t="shared" si="38"/>
        <v>8454.996666666666</v>
      </c>
      <c r="O76" s="76">
        <f t="shared" si="38"/>
        <v>8454.996666666666</v>
      </c>
      <c r="P76" s="76">
        <f t="shared" si="38"/>
        <v>8454.996666666666</v>
      </c>
      <c r="Q76" s="76">
        <f t="shared" si="38"/>
        <v>8454.996666666666</v>
      </c>
      <c r="R76" s="76">
        <f t="shared" si="38"/>
        <v>8454.996666666666</v>
      </c>
      <c r="S76" s="76">
        <f t="shared" si="38"/>
        <v>8454.996666666666</v>
      </c>
      <c r="T76" s="76">
        <f t="shared" si="38"/>
        <v>8454.996666666666</v>
      </c>
      <c r="U76" s="76">
        <f t="shared" si="38"/>
        <v>8454.996666666666</v>
      </c>
      <c r="V76" s="76">
        <f t="shared" si="38"/>
        <v>8455.0366666666669</v>
      </c>
      <c r="W76" s="76">
        <f t="shared" si="38"/>
        <v>108660</v>
      </c>
      <c r="Y76" s="74">
        <f t="shared" si="36"/>
        <v>0</v>
      </c>
    </row>
    <row r="77" spans="1:25" x14ac:dyDescent="0.35">
      <c r="A77" t="s">
        <v>191</v>
      </c>
      <c r="B77" s="16" t="s">
        <v>287</v>
      </c>
      <c r="C77" s="71"/>
      <c r="D77" s="72"/>
      <c r="E77" s="72"/>
      <c r="F77" s="72">
        <f t="shared" si="25"/>
        <v>0</v>
      </c>
      <c r="K77" s="71"/>
      <c r="L77" s="72"/>
      <c r="M77" s="72"/>
      <c r="N77" s="72"/>
      <c r="O77" s="71"/>
      <c r="P77" s="72"/>
      <c r="Q77" s="72"/>
      <c r="R77" s="72"/>
      <c r="S77" s="71"/>
      <c r="T77" s="72"/>
      <c r="U77" s="72"/>
      <c r="V77" s="72"/>
      <c r="W77" s="71"/>
      <c r="Y77" s="74">
        <f t="shared" si="36"/>
        <v>0</v>
      </c>
    </row>
    <row r="78" spans="1:25" x14ac:dyDescent="0.35">
      <c r="A78" t="s">
        <v>191</v>
      </c>
      <c r="B78" s="16" t="s">
        <v>288</v>
      </c>
      <c r="C78" s="73">
        <v>480</v>
      </c>
      <c r="D78" s="73">
        <v>0</v>
      </c>
      <c r="E78" s="73">
        <v>0</v>
      </c>
      <c r="F78" s="72">
        <f t="shared" si="25"/>
        <v>480</v>
      </c>
      <c r="K78" s="72">
        <f>'[1]Admin by Month'!J78+'[1]Membership by Month'!J78+'[1]Education by Month'!J78</f>
        <v>40</v>
      </c>
      <c r="L78" s="72">
        <f>'[1]Admin by Month'!K78+'[1]Membership by Month'!K78+'[1]Education by Month'!K78</f>
        <v>40</v>
      </c>
      <c r="M78" s="72">
        <f>'[1]Admin by Month'!L78+'[1]Membership by Month'!L78+'[1]Education by Month'!L78</f>
        <v>40</v>
      </c>
      <c r="N78" s="72">
        <f>'[1]Admin by Month'!M78+'[1]Membership by Month'!M78+'[1]Education by Month'!M78</f>
        <v>40</v>
      </c>
      <c r="O78" s="72">
        <f>'[1]Admin by Month'!N78+'[1]Membership by Month'!N78+'[1]Education by Month'!N78</f>
        <v>40</v>
      </c>
      <c r="P78" s="72">
        <f>'[1]Admin by Month'!O78+'[1]Membership by Month'!O78+'[1]Education by Month'!O78</f>
        <v>40</v>
      </c>
      <c r="Q78" s="72">
        <f>'[1]Admin by Month'!P78+'[1]Membership by Month'!P78+'[1]Education by Month'!P78</f>
        <v>40</v>
      </c>
      <c r="R78" s="72">
        <f>'[1]Admin by Month'!Q78+'[1]Membership by Month'!Q78+'[1]Education by Month'!Q78</f>
        <v>40</v>
      </c>
      <c r="S78" s="72">
        <f>'[1]Admin by Month'!R78+'[1]Membership by Month'!R78+'[1]Education by Month'!R78</f>
        <v>40</v>
      </c>
      <c r="T78" s="72">
        <f>'[1]Admin by Month'!S78+'[1]Membership by Month'!S78+'[1]Education by Month'!S78</f>
        <v>40</v>
      </c>
      <c r="U78" s="72">
        <f>'[1]Admin by Month'!T78+'[1]Membership by Month'!T78+'[1]Education by Month'!T78</f>
        <v>40</v>
      </c>
      <c r="V78" s="72">
        <f>'[1]Admin by Month'!U78+'[1]Membership by Month'!U78+'[1]Education by Month'!U78</f>
        <v>40</v>
      </c>
      <c r="W78" s="72">
        <f t="shared" ref="W78:W80" si="39">SUM(K78:V78)</f>
        <v>480</v>
      </c>
      <c r="Y78" s="74">
        <f t="shared" si="36"/>
        <v>0</v>
      </c>
    </row>
    <row r="79" spans="1:25" x14ac:dyDescent="0.35">
      <c r="A79" t="s">
        <v>191</v>
      </c>
      <c r="B79" s="16" t="s">
        <v>290</v>
      </c>
      <c r="C79" s="73">
        <v>2700</v>
      </c>
      <c r="D79" s="73">
        <v>0</v>
      </c>
      <c r="E79" s="73">
        <v>0</v>
      </c>
      <c r="F79" s="72">
        <f t="shared" si="25"/>
        <v>2700</v>
      </c>
      <c r="K79" s="72">
        <f>'[1]Admin by Month'!J79+'[1]Membership by Month'!J79+'[1]Education by Month'!J79</f>
        <v>225</v>
      </c>
      <c r="L79" s="72">
        <f>'[1]Admin by Month'!K79+'[1]Membership by Month'!K79+'[1]Education by Month'!K79</f>
        <v>225</v>
      </c>
      <c r="M79" s="72">
        <f>'[1]Admin by Month'!L79+'[1]Membership by Month'!L79+'[1]Education by Month'!L79</f>
        <v>225</v>
      </c>
      <c r="N79" s="72">
        <f>'[1]Admin by Month'!M79+'[1]Membership by Month'!M79+'[1]Education by Month'!M79</f>
        <v>225</v>
      </c>
      <c r="O79" s="72">
        <f>'[1]Admin by Month'!N79+'[1]Membership by Month'!N79+'[1]Education by Month'!N79</f>
        <v>225</v>
      </c>
      <c r="P79" s="72">
        <f>'[1]Admin by Month'!O79+'[1]Membership by Month'!O79+'[1]Education by Month'!O79</f>
        <v>225</v>
      </c>
      <c r="Q79" s="72">
        <f>'[1]Admin by Month'!P79+'[1]Membership by Month'!P79+'[1]Education by Month'!P79</f>
        <v>225</v>
      </c>
      <c r="R79" s="72">
        <f>'[1]Admin by Month'!Q79+'[1]Membership by Month'!Q79+'[1]Education by Month'!Q79</f>
        <v>225</v>
      </c>
      <c r="S79" s="72">
        <f>'[1]Admin by Month'!R79+'[1]Membership by Month'!R79+'[1]Education by Month'!R79</f>
        <v>225</v>
      </c>
      <c r="T79" s="72">
        <f>'[1]Admin by Month'!S79+'[1]Membership by Month'!S79+'[1]Education by Month'!S79</f>
        <v>225</v>
      </c>
      <c r="U79" s="72">
        <f>'[1]Admin by Month'!T79+'[1]Membership by Month'!T79+'[1]Education by Month'!T79</f>
        <v>225</v>
      </c>
      <c r="V79" s="72">
        <f>'[1]Admin by Month'!U79+'[1]Membership by Month'!U79+'[1]Education by Month'!U79</f>
        <v>225</v>
      </c>
      <c r="W79" s="72">
        <f t="shared" si="39"/>
        <v>2700</v>
      </c>
      <c r="Y79" s="74">
        <f t="shared" si="36"/>
        <v>0</v>
      </c>
    </row>
    <row r="80" spans="1:25" x14ac:dyDescent="0.35">
      <c r="A80" t="s">
        <v>191</v>
      </c>
      <c r="B80" s="16" t="s">
        <v>289</v>
      </c>
      <c r="C80" s="75">
        <v>300</v>
      </c>
      <c r="D80" s="75">
        <v>0</v>
      </c>
      <c r="E80" s="75">
        <v>0</v>
      </c>
      <c r="F80" s="72">
        <f t="shared" si="25"/>
        <v>300</v>
      </c>
      <c r="K80" s="72">
        <f>'[1]Admin by Month'!J80+'[1]Membership by Month'!J80+'[1]Education by Month'!J80</f>
        <v>25</v>
      </c>
      <c r="L80" s="72">
        <f>'[1]Admin by Month'!K80+'[1]Membership by Month'!K80+'[1]Education by Month'!K80</f>
        <v>25</v>
      </c>
      <c r="M80" s="72">
        <f>'[1]Admin by Month'!L80+'[1]Membership by Month'!L80+'[1]Education by Month'!L80</f>
        <v>25</v>
      </c>
      <c r="N80" s="72">
        <f>'[1]Admin by Month'!M80+'[1]Membership by Month'!M80+'[1]Education by Month'!M80</f>
        <v>25</v>
      </c>
      <c r="O80" s="72">
        <f>'[1]Admin by Month'!N80+'[1]Membership by Month'!N80+'[1]Education by Month'!N80</f>
        <v>25</v>
      </c>
      <c r="P80" s="72">
        <f>'[1]Admin by Month'!O80+'[1]Membership by Month'!O80+'[1]Education by Month'!O80</f>
        <v>25</v>
      </c>
      <c r="Q80" s="72">
        <f>'[1]Admin by Month'!P80+'[1]Membership by Month'!P80+'[1]Education by Month'!P80</f>
        <v>25</v>
      </c>
      <c r="R80" s="72">
        <f>'[1]Admin by Month'!Q80+'[1]Membership by Month'!Q80+'[1]Education by Month'!Q80</f>
        <v>25</v>
      </c>
      <c r="S80" s="72">
        <f>'[1]Admin by Month'!R80+'[1]Membership by Month'!R80+'[1]Education by Month'!R80</f>
        <v>25</v>
      </c>
      <c r="T80" s="72">
        <f>'[1]Admin by Month'!S80+'[1]Membership by Month'!S80+'[1]Education by Month'!S80</f>
        <v>25</v>
      </c>
      <c r="U80" s="72">
        <f>'[1]Admin by Month'!T80+'[1]Membership by Month'!T80+'[1]Education by Month'!T80</f>
        <v>25</v>
      </c>
      <c r="V80" s="72">
        <f>'[1]Admin by Month'!U80+'[1]Membership by Month'!U80+'[1]Education by Month'!U80</f>
        <v>25</v>
      </c>
      <c r="W80" s="72">
        <f t="shared" si="39"/>
        <v>300</v>
      </c>
      <c r="Y80" s="74">
        <f t="shared" si="36"/>
        <v>0</v>
      </c>
    </row>
    <row r="81" spans="1:25" x14ac:dyDescent="0.35">
      <c r="B81" s="16" t="s">
        <v>291</v>
      </c>
      <c r="C81" s="76">
        <f>SUM(C77:C80)</f>
        <v>3480</v>
      </c>
      <c r="D81" s="76">
        <f t="shared" ref="D81:F81" si="40">SUM(D77:D80)</f>
        <v>0</v>
      </c>
      <c r="E81" s="76">
        <f t="shared" si="40"/>
        <v>0</v>
      </c>
      <c r="F81" s="76">
        <f t="shared" si="40"/>
        <v>3480</v>
      </c>
      <c r="G81" s="3">
        <v>3480</v>
      </c>
      <c r="H81" s="3">
        <f>F81-G81</f>
        <v>0</v>
      </c>
      <c r="K81" s="76">
        <f t="shared" ref="K81:W81" si="41">SUM(K77:K80)</f>
        <v>290</v>
      </c>
      <c r="L81" s="76">
        <f t="shared" si="41"/>
        <v>290</v>
      </c>
      <c r="M81" s="76">
        <f t="shared" si="41"/>
        <v>290</v>
      </c>
      <c r="N81" s="76">
        <f t="shared" si="41"/>
        <v>290</v>
      </c>
      <c r="O81" s="76">
        <f t="shared" si="41"/>
        <v>290</v>
      </c>
      <c r="P81" s="76">
        <f t="shared" si="41"/>
        <v>290</v>
      </c>
      <c r="Q81" s="76">
        <f t="shared" si="41"/>
        <v>290</v>
      </c>
      <c r="R81" s="76">
        <f t="shared" si="41"/>
        <v>290</v>
      </c>
      <c r="S81" s="76">
        <f t="shared" si="41"/>
        <v>290</v>
      </c>
      <c r="T81" s="76">
        <f t="shared" si="41"/>
        <v>290</v>
      </c>
      <c r="U81" s="76">
        <f t="shared" si="41"/>
        <v>290</v>
      </c>
      <c r="V81" s="76">
        <f t="shared" si="41"/>
        <v>290</v>
      </c>
      <c r="W81" s="76">
        <f t="shared" si="41"/>
        <v>3480</v>
      </c>
      <c r="Y81" s="74">
        <f t="shared" si="36"/>
        <v>0</v>
      </c>
    </row>
    <row r="82" spans="1:25" x14ac:dyDescent="0.35">
      <c r="B82" s="16" t="s">
        <v>176</v>
      </c>
      <c r="C82" s="76">
        <f>SUM(C42,C63,C69,C76,C81)</f>
        <v>643087</v>
      </c>
      <c r="D82" s="76">
        <f t="shared" ref="D82:F82" si="42">SUM(D42,D63,D69,D76,D81)</f>
        <v>2625</v>
      </c>
      <c r="E82" s="76">
        <f t="shared" si="42"/>
        <v>90923</v>
      </c>
      <c r="F82" s="76">
        <f t="shared" si="42"/>
        <v>736635</v>
      </c>
      <c r="K82" s="76">
        <f t="shared" ref="K82:W82" si="43">SUM(K42,K63,K69,K76,K81)</f>
        <v>62880.189999999995</v>
      </c>
      <c r="L82" s="76">
        <f t="shared" si="43"/>
        <v>56493.51</v>
      </c>
      <c r="M82" s="76">
        <f t="shared" si="43"/>
        <v>52670.07</v>
      </c>
      <c r="N82" s="76">
        <f t="shared" si="43"/>
        <v>52708.39</v>
      </c>
      <c r="O82" s="76">
        <f t="shared" si="43"/>
        <v>53670.07</v>
      </c>
      <c r="P82" s="76">
        <f t="shared" si="43"/>
        <v>53408.39</v>
      </c>
      <c r="Q82" s="76">
        <f t="shared" si="43"/>
        <v>58028.689999999995</v>
      </c>
      <c r="R82" s="76">
        <f t="shared" si="43"/>
        <v>84443.010000000009</v>
      </c>
      <c r="S82" s="76">
        <f t="shared" si="43"/>
        <v>57177.689999999995</v>
      </c>
      <c r="T82" s="76">
        <f t="shared" si="43"/>
        <v>104249.01000000001</v>
      </c>
      <c r="U82" s="76">
        <f t="shared" si="43"/>
        <v>52803.689999999995</v>
      </c>
      <c r="V82" s="76">
        <f t="shared" si="43"/>
        <v>48102.29</v>
      </c>
      <c r="W82" s="76">
        <f t="shared" si="43"/>
        <v>736635</v>
      </c>
      <c r="Y82" s="74">
        <f t="shared" si="36"/>
        <v>0</v>
      </c>
    </row>
    <row r="83" spans="1:25" x14ac:dyDescent="0.35">
      <c r="B83" s="16" t="s">
        <v>177</v>
      </c>
      <c r="C83" s="76">
        <f>C37-C82</f>
        <v>-630687</v>
      </c>
      <c r="D83" s="76">
        <f t="shared" ref="D83:F83" si="44">D37-D82</f>
        <v>510859</v>
      </c>
      <c r="E83" s="76">
        <f t="shared" si="44"/>
        <v>67640.5</v>
      </c>
      <c r="F83" s="76">
        <f t="shared" si="44"/>
        <v>-52187.5</v>
      </c>
      <c r="K83" s="76">
        <f t="shared" ref="K83:W83" si="45">K37-K82</f>
        <v>-19475.064999933333</v>
      </c>
      <c r="L83" s="76">
        <f t="shared" si="45"/>
        <v>-5508.3849999333397</v>
      </c>
      <c r="M83" s="76">
        <f t="shared" si="45"/>
        <v>-9264.9449999333374</v>
      </c>
      <c r="N83" s="76">
        <f t="shared" si="45"/>
        <v>-9303.2649999333371</v>
      </c>
      <c r="O83" s="76">
        <f t="shared" si="45"/>
        <v>-3326.9449999333374</v>
      </c>
      <c r="P83" s="76">
        <f t="shared" si="45"/>
        <v>-5278.2649999333371</v>
      </c>
      <c r="Q83" s="76">
        <f t="shared" si="45"/>
        <v>-8158.5649999333327</v>
      </c>
      <c r="R83" s="76">
        <f t="shared" si="45"/>
        <v>-7912.884999933347</v>
      </c>
      <c r="S83" s="76">
        <f t="shared" si="45"/>
        <v>-11972.564999933333</v>
      </c>
      <c r="T83" s="76">
        <f t="shared" si="45"/>
        <v>30879.115000066668</v>
      </c>
      <c r="U83" s="76">
        <f t="shared" si="45"/>
        <v>-7168.5649999333327</v>
      </c>
      <c r="V83" s="76">
        <f t="shared" si="45"/>
        <v>4302.8350000666615</v>
      </c>
      <c r="W83" s="76">
        <f t="shared" si="45"/>
        <v>-52187.499999199994</v>
      </c>
      <c r="Y83" s="74">
        <f t="shared" si="36"/>
        <v>-8.0000609159469604E-7</v>
      </c>
    </row>
    <row r="84" spans="1:25" x14ac:dyDescent="0.35">
      <c r="B84" s="16" t="s">
        <v>178</v>
      </c>
      <c r="C84" s="71"/>
      <c r="D84" s="71"/>
      <c r="E84" s="71"/>
      <c r="F84" s="71"/>
      <c r="K84" s="71"/>
      <c r="L84" s="71"/>
      <c r="M84" s="71"/>
      <c r="N84" s="71"/>
      <c r="O84" s="71"/>
      <c r="P84" s="71"/>
      <c r="Q84" s="71"/>
      <c r="R84" s="71"/>
      <c r="S84" s="71"/>
      <c r="T84" s="71"/>
      <c r="U84" s="71"/>
      <c r="V84" s="71"/>
      <c r="W84" s="71"/>
      <c r="Y84" s="74">
        <f t="shared" si="36"/>
        <v>0</v>
      </c>
    </row>
    <row r="85" spans="1:25" x14ac:dyDescent="0.35">
      <c r="A85" t="s">
        <v>3</v>
      </c>
      <c r="B85" s="16" t="s">
        <v>179</v>
      </c>
      <c r="C85" s="71"/>
      <c r="D85" s="71"/>
      <c r="E85" s="71"/>
      <c r="F85" s="72">
        <f t="shared" ref="F85:F89" si="46">SUM(C85:E85)</f>
        <v>0</v>
      </c>
      <c r="K85" s="72">
        <f>'[1]Admin by Month'!J85+'[1]Membership by Month'!J85+'[1]Education by Month'!J85</f>
        <v>0</v>
      </c>
      <c r="L85" s="72">
        <f>'[1]Admin by Month'!K85+'[1]Membership by Month'!K85+'[1]Education by Month'!K85</f>
        <v>0</v>
      </c>
      <c r="M85" s="72">
        <f>'[1]Admin by Month'!L85+'[1]Membership by Month'!L85+'[1]Education by Month'!L85</f>
        <v>0</v>
      </c>
      <c r="N85" s="72">
        <f>'[1]Admin by Month'!M85+'[1]Membership by Month'!M85+'[1]Education by Month'!M85</f>
        <v>0</v>
      </c>
      <c r="O85" s="72">
        <f>'[1]Admin by Month'!N85+'[1]Membership by Month'!N85+'[1]Education by Month'!N85</f>
        <v>0</v>
      </c>
      <c r="P85" s="72">
        <f>'[1]Admin by Month'!O85+'[1]Membership by Month'!O85+'[1]Education by Month'!O85</f>
        <v>0</v>
      </c>
      <c r="Q85" s="72">
        <f>'[1]Admin by Month'!P85+'[1]Membership by Month'!P85+'[1]Education by Month'!P85</f>
        <v>0</v>
      </c>
      <c r="R85" s="72">
        <f>'[1]Admin by Month'!Q85+'[1]Membership by Month'!Q85+'[1]Education by Month'!Q85</f>
        <v>0</v>
      </c>
      <c r="S85" s="72">
        <f>'[1]Admin by Month'!R85+'[1]Membership by Month'!R85+'[1]Education by Month'!R85</f>
        <v>0</v>
      </c>
      <c r="T85" s="72">
        <f>'[1]Admin by Month'!S85+'[1]Membership by Month'!S85+'[1]Education by Month'!S85</f>
        <v>0</v>
      </c>
      <c r="U85" s="72">
        <f>'[1]Admin by Month'!T85+'[1]Membership by Month'!T85+'[1]Education by Month'!T85</f>
        <v>0</v>
      </c>
      <c r="V85" s="72">
        <f>'[1]Admin by Month'!U85+'[1]Membership by Month'!U85+'[1]Education by Month'!U85</f>
        <v>0</v>
      </c>
      <c r="W85" s="72">
        <f t="shared" ref="W85:W89" si="47">SUM(K85:V85)</f>
        <v>0</v>
      </c>
      <c r="Y85" s="74">
        <f t="shared" si="36"/>
        <v>0</v>
      </c>
    </row>
    <row r="86" spans="1:25" x14ac:dyDescent="0.35">
      <c r="A86" t="s">
        <v>189</v>
      </c>
      <c r="B86" s="16" t="s">
        <v>292</v>
      </c>
      <c r="C86" s="73"/>
      <c r="D86" s="72"/>
      <c r="E86" s="72"/>
      <c r="F86" s="72">
        <f t="shared" si="46"/>
        <v>0</v>
      </c>
      <c r="K86" s="72">
        <f>'[1]Admin by Month'!J86+'[1]Membership by Month'!J86+'[1]Education by Month'!J86</f>
        <v>0</v>
      </c>
      <c r="L86" s="72">
        <f>'[1]Admin by Month'!K86+'[1]Membership by Month'!K86+'[1]Education by Month'!K86</f>
        <v>0</v>
      </c>
      <c r="M86" s="72">
        <f>'[1]Admin by Month'!L86+'[1]Membership by Month'!L86+'[1]Education by Month'!L86</f>
        <v>0</v>
      </c>
      <c r="N86" s="72">
        <f>'[1]Admin by Month'!M86+'[1]Membership by Month'!M86+'[1]Education by Month'!M86</f>
        <v>0</v>
      </c>
      <c r="O86" s="72">
        <f>'[1]Admin by Month'!N86+'[1]Membership by Month'!N86+'[1]Education by Month'!N86</f>
        <v>0</v>
      </c>
      <c r="P86" s="72">
        <f>'[1]Admin by Month'!O86+'[1]Membership by Month'!O86+'[1]Education by Month'!O86</f>
        <v>0</v>
      </c>
      <c r="Q86" s="72">
        <f>'[1]Admin by Month'!P86+'[1]Membership by Month'!P86+'[1]Education by Month'!P86</f>
        <v>0</v>
      </c>
      <c r="R86" s="72">
        <f>'[1]Admin by Month'!Q86+'[1]Membership by Month'!Q86+'[1]Education by Month'!Q86</f>
        <v>0</v>
      </c>
      <c r="S86" s="72">
        <f>'[1]Admin by Month'!R86+'[1]Membership by Month'!R86+'[1]Education by Month'!R86</f>
        <v>0</v>
      </c>
      <c r="T86" s="72">
        <f>'[1]Admin by Month'!S86+'[1]Membership by Month'!S86+'[1]Education by Month'!S86</f>
        <v>0</v>
      </c>
      <c r="U86" s="72">
        <f>'[1]Admin by Month'!T86+'[1]Membership by Month'!T86+'[1]Education by Month'!T86</f>
        <v>0</v>
      </c>
      <c r="V86" s="72">
        <f>'[1]Admin by Month'!U86+'[1]Membership by Month'!U86+'[1]Education by Month'!U86</f>
        <v>0</v>
      </c>
      <c r="W86" s="72">
        <f t="shared" si="47"/>
        <v>0</v>
      </c>
      <c r="Y86" s="74">
        <f t="shared" si="36"/>
        <v>0</v>
      </c>
    </row>
    <row r="87" spans="1:25" x14ac:dyDescent="0.35">
      <c r="A87" t="s">
        <v>190</v>
      </c>
      <c r="B87" s="16" t="s">
        <v>293</v>
      </c>
      <c r="C87" s="72"/>
      <c r="D87" s="72"/>
      <c r="E87" s="72"/>
      <c r="F87" s="72">
        <f t="shared" si="46"/>
        <v>0</v>
      </c>
      <c r="K87" s="72">
        <f>'[1]Admin by Month'!J87+'[1]Membership by Month'!J87+'[1]Education by Month'!J87</f>
        <v>0</v>
      </c>
      <c r="L87" s="72">
        <f>'[1]Admin by Month'!K87+'[1]Membership by Month'!K87+'[1]Education by Month'!K87</f>
        <v>0</v>
      </c>
      <c r="M87" s="72">
        <f>'[1]Admin by Month'!L87+'[1]Membership by Month'!L87+'[1]Education by Month'!L87</f>
        <v>0</v>
      </c>
      <c r="N87" s="72">
        <f>'[1]Admin by Month'!M87+'[1]Membership by Month'!M87+'[1]Education by Month'!M87</f>
        <v>0</v>
      </c>
      <c r="O87" s="72">
        <f>'[1]Admin by Month'!N87+'[1]Membership by Month'!N87+'[1]Education by Month'!N87</f>
        <v>0</v>
      </c>
      <c r="P87" s="72">
        <f>'[1]Admin by Month'!O87+'[1]Membership by Month'!O87+'[1]Education by Month'!O87</f>
        <v>0</v>
      </c>
      <c r="Q87" s="72">
        <f>'[1]Admin by Month'!P87+'[1]Membership by Month'!P87+'[1]Education by Month'!P87</f>
        <v>0</v>
      </c>
      <c r="R87" s="72">
        <f>'[1]Admin by Month'!Q87+'[1]Membership by Month'!Q87+'[1]Education by Month'!Q87</f>
        <v>0</v>
      </c>
      <c r="S87" s="72">
        <f>'[1]Admin by Month'!R87+'[1]Membership by Month'!R87+'[1]Education by Month'!R87</f>
        <v>0</v>
      </c>
      <c r="T87" s="72">
        <f>'[1]Admin by Month'!S87+'[1]Membership by Month'!S87+'[1]Education by Month'!S87</f>
        <v>0</v>
      </c>
      <c r="U87" s="72">
        <f>'[1]Admin by Month'!T87+'[1]Membership by Month'!T87+'[1]Education by Month'!T87</f>
        <v>0</v>
      </c>
      <c r="V87" s="72">
        <f>'[1]Admin by Month'!U87+'[1]Membership by Month'!U87+'[1]Education by Month'!U87</f>
        <v>0</v>
      </c>
      <c r="W87" s="72">
        <f t="shared" si="47"/>
        <v>0</v>
      </c>
      <c r="Y87" s="74">
        <f t="shared" si="36"/>
        <v>0</v>
      </c>
    </row>
    <row r="88" spans="1:25" x14ac:dyDescent="0.35">
      <c r="A88" t="s">
        <v>189</v>
      </c>
      <c r="B88" s="16" t="s">
        <v>294</v>
      </c>
      <c r="C88" s="73">
        <v>22500</v>
      </c>
      <c r="D88" s="71"/>
      <c r="E88" s="71"/>
      <c r="F88" s="72">
        <f t="shared" si="46"/>
        <v>22500</v>
      </c>
      <c r="K88" s="72">
        <f>'[1]Admin by Month'!J88+'[1]Membership by Month'!J88+'[1]Education by Month'!J88</f>
        <v>1875</v>
      </c>
      <c r="L88" s="72">
        <f>'[1]Admin by Month'!K88+'[1]Membership by Month'!K88+'[1]Education by Month'!K88</f>
        <v>1875</v>
      </c>
      <c r="M88" s="72">
        <f>'[1]Admin by Month'!L88+'[1]Membership by Month'!L88+'[1]Education by Month'!L88</f>
        <v>1875</v>
      </c>
      <c r="N88" s="72">
        <f>'[1]Admin by Month'!M88+'[1]Membership by Month'!M88+'[1]Education by Month'!M88</f>
        <v>1875</v>
      </c>
      <c r="O88" s="72">
        <f>'[1]Admin by Month'!N88+'[1]Membership by Month'!N88+'[1]Education by Month'!N88</f>
        <v>1875</v>
      </c>
      <c r="P88" s="72">
        <f>'[1]Admin by Month'!O88+'[1]Membership by Month'!O88+'[1]Education by Month'!O88</f>
        <v>1875</v>
      </c>
      <c r="Q88" s="72">
        <f>'[1]Admin by Month'!P88+'[1]Membership by Month'!P88+'[1]Education by Month'!P88</f>
        <v>1875</v>
      </c>
      <c r="R88" s="72">
        <f>'[1]Admin by Month'!Q88+'[1]Membership by Month'!Q88+'[1]Education by Month'!Q88</f>
        <v>1875</v>
      </c>
      <c r="S88" s="72">
        <f>'[1]Admin by Month'!R88+'[1]Membership by Month'!R88+'[1]Education by Month'!R88</f>
        <v>1875</v>
      </c>
      <c r="T88" s="72">
        <f>'[1]Admin by Month'!S88+'[1]Membership by Month'!S88+'[1]Education by Month'!S88</f>
        <v>1875</v>
      </c>
      <c r="U88" s="72">
        <f>'[1]Admin by Month'!T88+'[1]Membership by Month'!T88+'[1]Education by Month'!T88</f>
        <v>1875</v>
      </c>
      <c r="V88" s="72">
        <f>'[1]Admin by Month'!U88+'[1]Membership by Month'!U88+'[1]Education by Month'!U88</f>
        <v>1875</v>
      </c>
      <c r="W88" s="72">
        <f t="shared" si="47"/>
        <v>22500</v>
      </c>
      <c r="Y88" s="74">
        <f t="shared" si="36"/>
        <v>0</v>
      </c>
    </row>
    <row r="89" spans="1:25" x14ac:dyDescent="0.35">
      <c r="A89" t="s">
        <v>189</v>
      </c>
      <c r="B89" s="16" t="s">
        <v>295</v>
      </c>
      <c r="C89" s="72"/>
      <c r="D89" s="72"/>
      <c r="E89" s="72"/>
      <c r="F89" s="72">
        <f t="shared" si="46"/>
        <v>0</v>
      </c>
      <c r="K89" s="72">
        <f>'[1]Admin by Month'!J89+'[1]Membership by Month'!J89+'[1]Education by Month'!J89</f>
        <v>0</v>
      </c>
      <c r="L89" s="72">
        <f>'[1]Admin by Month'!K89+'[1]Membership by Month'!K89+'[1]Education by Month'!K89</f>
        <v>0</v>
      </c>
      <c r="M89" s="72">
        <f>'[1]Admin by Month'!L89+'[1]Membership by Month'!L89+'[1]Education by Month'!L89</f>
        <v>0</v>
      </c>
      <c r="N89" s="72">
        <f>'[1]Admin by Month'!M89+'[1]Membership by Month'!M89+'[1]Education by Month'!M89</f>
        <v>0</v>
      </c>
      <c r="O89" s="72">
        <f>'[1]Admin by Month'!N89+'[1]Membership by Month'!N89+'[1]Education by Month'!N89</f>
        <v>0</v>
      </c>
      <c r="P89" s="72">
        <f>'[1]Admin by Month'!O89+'[1]Membership by Month'!O89+'[1]Education by Month'!O89</f>
        <v>0</v>
      </c>
      <c r="Q89" s="72">
        <f>'[1]Admin by Month'!P89+'[1]Membership by Month'!P89+'[1]Education by Month'!P89</f>
        <v>0</v>
      </c>
      <c r="R89" s="72">
        <f>'[1]Admin by Month'!Q89+'[1]Membership by Month'!Q89+'[1]Education by Month'!Q89</f>
        <v>0</v>
      </c>
      <c r="S89" s="72">
        <f>'[1]Admin by Month'!R89+'[1]Membership by Month'!R89+'[1]Education by Month'!R89</f>
        <v>0</v>
      </c>
      <c r="T89" s="72">
        <f>'[1]Admin by Month'!S89+'[1]Membership by Month'!S89+'[1]Education by Month'!S89</f>
        <v>0</v>
      </c>
      <c r="U89" s="72">
        <f>'[1]Admin by Month'!T89+'[1]Membership by Month'!T89+'[1]Education by Month'!T89</f>
        <v>0</v>
      </c>
      <c r="V89" s="72">
        <f>'[1]Admin by Month'!U89+'[1]Membership by Month'!U89+'[1]Education by Month'!U89</f>
        <v>0</v>
      </c>
      <c r="W89" s="72">
        <f t="shared" si="47"/>
        <v>0</v>
      </c>
      <c r="Y89" s="74">
        <f t="shared" si="36"/>
        <v>0</v>
      </c>
    </row>
    <row r="90" spans="1:25" x14ac:dyDescent="0.35">
      <c r="B90" s="16" t="s">
        <v>180</v>
      </c>
      <c r="C90" s="76">
        <f>SUM(C84:C89)</f>
        <v>22500</v>
      </c>
      <c r="D90" s="76">
        <f t="shared" ref="D90:F90" si="48">SUM(D84:D89)</f>
        <v>0</v>
      </c>
      <c r="E90" s="76">
        <f t="shared" si="48"/>
        <v>0</v>
      </c>
      <c r="F90" s="76">
        <f t="shared" si="48"/>
        <v>22500</v>
      </c>
      <c r="K90" s="76">
        <f t="shared" ref="K90:W90" si="49">SUM(K84:K89)</f>
        <v>1875</v>
      </c>
      <c r="L90" s="76">
        <f t="shared" si="49"/>
        <v>1875</v>
      </c>
      <c r="M90" s="76">
        <f t="shared" si="49"/>
        <v>1875</v>
      </c>
      <c r="N90" s="76">
        <f t="shared" si="49"/>
        <v>1875</v>
      </c>
      <c r="O90" s="76">
        <f t="shared" si="49"/>
        <v>1875</v>
      </c>
      <c r="P90" s="76">
        <f t="shared" si="49"/>
        <v>1875</v>
      </c>
      <c r="Q90" s="76">
        <f t="shared" si="49"/>
        <v>1875</v>
      </c>
      <c r="R90" s="76">
        <f t="shared" si="49"/>
        <v>1875</v>
      </c>
      <c r="S90" s="76">
        <f t="shared" si="49"/>
        <v>1875</v>
      </c>
      <c r="T90" s="76">
        <f t="shared" si="49"/>
        <v>1875</v>
      </c>
      <c r="U90" s="76">
        <f t="shared" si="49"/>
        <v>1875</v>
      </c>
      <c r="V90" s="76">
        <f t="shared" si="49"/>
        <v>1875</v>
      </c>
      <c r="W90" s="76">
        <f t="shared" si="49"/>
        <v>22500</v>
      </c>
      <c r="Y90" s="74">
        <f t="shared" si="36"/>
        <v>0</v>
      </c>
    </row>
    <row r="91" spans="1:25" x14ac:dyDescent="0.35">
      <c r="B91" s="16" t="s">
        <v>181</v>
      </c>
      <c r="C91" s="71"/>
      <c r="D91" s="71"/>
      <c r="E91" s="71"/>
      <c r="F91" s="71"/>
      <c r="K91" s="71"/>
      <c r="L91" s="71"/>
      <c r="M91" s="71"/>
      <c r="N91" s="71"/>
      <c r="O91" s="71"/>
      <c r="P91" s="71"/>
      <c r="Q91" s="71"/>
      <c r="R91" s="71"/>
      <c r="S91" s="71"/>
      <c r="T91" s="71"/>
      <c r="U91" s="71"/>
      <c r="V91" s="71"/>
      <c r="W91" s="71"/>
      <c r="Y91" s="74">
        <f t="shared" si="36"/>
        <v>0</v>
      </c>
    </row>
    <row r="92" spans="1:25" x14ac:dyDescent="0.35">
      <c r="A92" t="s">
        <v>170</v>
      </c>
      <c r="B92" s="16" t="s">
        <v>297</v>
      </c>
      <c r="C92" s="71"/>
      <c r="D92" s="71"/>
      <c r="E92" s="71"/>
      <c r="F92" s="72">
        <f t="shared" ref="F92:F93" si="50">SUM(C92:E92)</f>
        <v>0</v>
      </c>
      <c r="K92" s="72">
        <f>'[1]Admin by Month'!J92+'[1]Membership by Month'!J92+'[1]Education by Month'!J92</f>
        <v>0</v>
      </c>
      <c r="L92" s="72">
        <f>'[1]Admin by Month'!K92+'[1]Membership by Month'!K92+'[1]Education by Month'!K92</f>
        <v>0</v>
      </c>
      <c r="M92" s="72">
        <f>'[1]Admin by Month'!L92+'[1]Membership by Month'!L92+'[1]Education by Month'!L92</f>
        <v>0</v>
      </c>
      <c r="N92" s="72">
        <f>'[1]Admin by Month'!M92+'[1]Membership by Month'!M92+'[1]Education by Month'!M92</f>
        <v>0</v>
      </c>
      <c r="O92" s="72">
        <f>'[1]Admin by Month'!N92+'[1]Membership by Month'!N92+'[1]Education by Month'!N92</f>
        <v>0</v>
      </c>
      <c r="P92" s="72">
        <f>'[1]Admin by Month'!O92+'[1]Membership by Month'!O92+'[1]Education by Month'!O92</f>
        <v>0</v>
      </c>
      <c r="Q92" s="72">
        <f>'[1]Admin by Month'!P92+'[1]Membership by Month'!P92+'[1]Education by Month'!P92</f>
        <v>0</v>
      </c>
      <c r="R92" s="72">
        <f>'[1]Admin by Month'!Q92+'[1]Membership by Month'!Q92+'[1]Education by Month'!Q92</f>
        <v>0</v>
      </c>
      <c r="S92" s="72">
        <f>'[1]Admin by Month'!R92+'[1]Membership by Month'!R92+'[1]Education by Month'!R92</f>
        <v>0</v>
      </c>
      <c r="T92" s="72">
        <f>'[1]Admin by Month'!S92+'[1]Membership by Month'!S92+'[1]Education by Month'!S92</f>
        <v>0</v>
      </c>
      <c r="U92" s="72">
        <f>'[1]Admin by Month'!T92+'[1]Membership by Month'!T92+'[1]Education by Month'!T92</f>
        <v>0</v>
      </c>
      <c r="V92" s="72">
        <f>'[1]Admin by Month'!U92+'[1]Membership by Month'!U92+'[1]Education by Month'!U92</f>
        <v>0</v>
      </c>
      <c r="W92" s="72">
        <f t="shared" ref="W92:W93" si="51">SUM(K92:V92)</f>
        <v>0</v>
      </c>
      <c r="Y92" s="74">
        <f t="shared" si="36"/>
        <v>0</v>
      </c>
    </row>
    <row r="93" spans="1:25" x14ac:dyDescent="0.35">
      <c r="A93" t="s">
        <v>313</v>
      </c>
      <c r="B93" s="16" t="s">
        <v>296</v>
      </c>
      <c r="C93" s="73">
        <v>1000</v>
      </c>
      <c r="D93" s="73">
        <v>0</v>
      </c>
      <c r="E93" s="73">
        <v>0</v>
      </c>
      <c r="F93" s="72">
        <f t="shared" si="50"/>
        <v>1000</v>
      </c>
      <c r="K93" s="72">
        <f>'[1]Admin by Month'!J93+'[1]Membership by Month'!J93+'[1]Education by Month'!J93</f>
        <v>0</v>
      </c>
      <c r="L93" s="72">
        <f>'[1]Admin by Month'!K93+'[1]Membership by Month'!K93+'[1]Education by Month'!K93</f>
        <v>0</v>
      </c>
      <c r="M93" s="72">
        <f>'[1]Admin by Month'!L93+'[1]Membership by Month'!L93+'[1]Education by Month'!L93</f>
        <v>0</v>
      </c>
      <c r="N93" s="72">
        <f>'[1]Admin by Month'!M93+'[1]Membership by Month'!M93+'[1]Education by Month'!M93</f>
        <v>0</v>
      </c>
      <c r="O93" s="72">
        <f>'[1]Admin by Month'!N93+'[1]Membership by Month'!N93+'[1]Education by Month'!N93</f>
        <v>0</v>
      </c>
      <c r="P93" s="72">
        <f>'[1]Admin by Month'!O93+'[1]Membership by Month'!O93+'[1]Education by Month'!O93</f>
        <v>0</v>
      </c>
      <c r="Q93" s="72">
        <f>'[1]Admin by Month'!P93+'[1]Membership by Month'!P93+'[1]Education by Month'!P93</f>
        <v>0</v>
      </c>
      <c r="R93" s="72">
        <f>'[1]Admin by Month'!Q93+'[1]Membership by Month'!Q93+'[1]Education by Month'!Q93</f>
        <v>0</v>
      </c>
      <c r="S93" s="72">
        <f>'[1]Admin by Month'!R93+'[1]Membership by Month'!R93+'[1]Education by Month'!R93</f>
        <v>0</v>
      </c>
      <c r="T93" s="72">
        <f>'[1]Admin by Month'!S93+'[1]Membership by Month'!S93+'[1]Education by Month'!S93</f>
        <v>1000</v>
      </c>
      <c r="U93" s="72">
        <f>'[1]Admin by Month'!T93+'[1]Membership by Month'!T93+'[1]Education by Month'!T93</f>
        <v>0</v>
      </c>
      <c r="V93" s="72">
        <f>'[1]Admin by Month'!U93+'[1]Membership by Month'!U93+'[1]Education by Month'!U93</f>
        <v>0</v>
      </c>
      <c r="W93" s="72">
        <f t="shared" si="51"/>
        <v>1000</v>
      </c>
      <c r="Y93" s="74">
        <f t="shared" si="36"/>
        <v>0</v>
      </c>
    </row>
    <row r="94" spans="1:25" x14ac:dyDescent="0.35">
      <c r="B94" s="16" t="s">
        <v>182</v>
      </c>
      <c r="C94" s="76">
        <f>SUM(C91:C93)</f>
        <v>1000</v>
      </c>
      <c r="D94" s="76">
        <f t="shared" ref="D94:F94" si="52">SUM(D91:D93)</f>
        <v>0</v>
      </c>
      <c r="E94" s="76">
        <f>SUM(E91:E93)</f>
        <v>0</v>
      </c>
      <c r="F94" s="76">
        <f t="shared" si="52"/>
        <v>1000</v>
      </c>
      <c r="G94" s="80"/>
      <c r="H94" s="80"/>
      <c r="K94" s="76">
        <f t="shared" ref="K94:W94" si="53">SUM(K91:K93)</f>
        <v>0</v>
      </c>
      <c r="L94" s="76">
        <f t="shared" si="53"/>
        <v>0</v>
      </c>
      <c r="M94" s="76">
        <f t="shared" si="53"/>
        <v>0</v>
      </c>
      <c r="N94" s="76">
        <f t="shared" si="53"/>
        <v>0</v>
      </c>
      <c r="O94" s="76">
        <f t="shared" si="53"/>
        <v>0</v>
      </c>
      <c r="P94" s="76">
        <f t="shared" si="53"/>
        <v>0</v>
      </c>
      <c r="Q94" s="76">
        <f t="shared" si="53"/>
        <v>0</v>
      </c>
      <c r="R94" s="76">
        <f t="shared" si="53"/>
        <v>0</v>
      </c>
      <c r="S94" s="76">
        <f t="shared" si="53"/>
        <v>0</v>
      </c>
      <c r="T94" s="76">
        <f t="shared" si="53"/>
        <v>1000</v>
      </c>
      <c r="U94" s="76">
        <f t="shared" si="53"/>
        <v>0</v>
      </c>
      <c r="V94" s="76">
        <f t="shared" si="53"/>
        <v>0</v>
      </c>
      <c r="W94" s="76">
        <f t="shared" si="53"/>
        <v>1000</v>
      </c>
      <c r="Y94" s="74">
        <f t="shared" si="36"/>
        <v>0</v>
      </c>
    </row>
    <row r="95" spans="1:25" x14ac:dyDescent="0.35">
      <c r="B95" s="16" t="s">
        <v>183</v>
      </c>
      <c r="C95" s="76">
        <f>C90-C94</f>
        <v>21500</v>
      </c>
      <c r="D95" s="76">
        <f t="shared" ref="D95:F95" si="54">D90-D94</f>
        <v>0</v>
      </c>
      <c r="E95" s="76">
        <f t="shared" si="54"/>
        <v>0</v>
      </c>
      <c r="F95" s="76">
        <f t="shared" si="54"/>
        <v>21500</v>
      </c>
      <c r="K95" s="76">
        <f t="shared" ref="K95:W95" si="55">K90-K94</f>
        <v>1875</v>
      </c>
      <c r="L95" s="76">
        <f t="shared" si="55"/>
        <v>1875</v>
      </c>
      <c r="M95" s="76">
        <f t="shared" si="55"/>
        <v>1875</v>
      </c>
      <c r="N95" s="76">
        <f t="shared" si="55"/>
        <v>1875</v>
      </c>
      <c r="O95" s="76">
        <f t="shared" si="55"/>
        <v>1875</v>
      </c>
      <c r="P95" s="76">
        <f t="shared" si="55"/>
        <v>1875</v>
      </c>
      <c r="Q95" s="76">
        <f t="shared" si="55"/>
        <v>1875</v>
      </c>
      <c r="R95" s="76">
        <f t="shared" si="55"/>
        <v>1875</v>
      </c>
      <c r="S95" s="76">
        <f t="shared" si="55"/>
        <v>1875</v>
      </c>
      <c r="T95" s="76">
        <f t="shared" si="55"/>
        <v>875</v>
      </c>
      <c r="U95" s="76">
        <f t="shared" si="55"/>
        <v>1875</v>
      </c>
      <c r="V95" s="76">
        <f t="shared" si="55"/>
        <v>1875</v>
      </c>
      <c r="W95" s="76">
        <f t="shared" si="55"/>
        <v>21500</v>
      </c>
      <c r="Y95" s="74">
        <f t="shared" si="36"/>
        <v>0</v>
      </c>
    </row>
    <row r="96" spans="1:25" ht="15" thickBot="1" x14ac:dyDescent="0.4">
      <c r="B96" s="16" t="s">
        <v>184</v>
      </c>
      <c r="C96" s="81">
        <f>SUM(C83,C95)</f>
        <v>-609187</v>
      </c>
      <c r="D96" s="81">
        <f t="shared" ref="D96:F96" si="56">SUM(D83,D95)</f>
        <v>510859</v>
      </c>
      <c r="E96" s="81">
        <f t="shared" si="56"/>
        <v>67640.5</v>
      </c>
      <c r="F96" s="81">
        <f t="shared" si="56"/>
        <v>-30687.5</v>
      </c>
      <c r="K96" s="81">
        <f t="shared" ref="K96:W96" si="57">SUM(K83,K95)</f>
        <v>-17600.064999933333</v>
      </c>
      <c r="L96" s="81">
        <f t="shared" si="57"/>
        <v>-3633.3849999333397</v>
      </c>
      <c r="M96" s="81">
        <f t="shared" si="57"/>
        <v>-7389.9449999333374</v>
      </c>
      <c r="N96" s="81">
        <f t="shared" si="57"/>
        <v>-7428.2649999333371</v>
      </c>
      <c r="O96" s="81">
        <f t="shared" si="57"/>
        <v>-1451.9449999333374</v>
      </c>
      <c r="P96" s="81">
        <f t="shared" si="57"/>
        <v>-3403.2649999333371</v>
      </c>
      <c r="Q96" s="81">
        <f t="shared" si="57"/>
        <v>-6283.5649999333327</v>
      </c>
      <c r="R96" s="81">
        <f t="shared" si="57"/>
        <v>-6037.884999933347</v>
      </c>
      <c r="S96" s="81">
        <f t="shared" si="57"/>
        <v>-10097.564999933333</v>
      </c>
      <c r="T96" s="81">
        <f t="shared" si="57"/>
        <v>31754.115000066668</v>
      </c>
      <c r="U96" s="81">
        <f t="shared" si="57"/>
        <v>-5293.5649999333327</v>
      </c>
      <c r="V96" s="81">
        <f t="shared" si="57"/>
        <v>6177.8350000666615</v>
      </c>
      <c r="W96" s="81">
        <f t="shared" si="57"/>
        <v>-30687.499999199994</v>
      </c>
      <c r="Y96" s="74">
        <f t="shared" si="36"/>
        <v>-8.0000609159469604E-7</v>
      </c>
    </row>
    <row r="97" spans="2:6" ht="15" thickTop="1" x14ac:dyDescent="0.35">
      <c r="B97" s="16"/>
      <c r="C97" s="71"/>
      <c r="D97" s="71"/>
      <c r="E97" s="71"/>
      <c r="F97" s="71"/>
    </row>
    <row r="100" spans="2:6" x14ac:dyDescent="0.35">
      <c r="B100" s="82"/>
      <c r="C100"/>
      <c r="D100"/>
      <c r="E100"/>
      <c r="F100"/>
    </row>
  </sheetData>
  <mergeCells count="1">
    <mergeCell ref="K4:W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F4DD-3C9B-4855-9C59-24463AEB8DE9}">
  <sheetPr>
    <pageSetUpPr fitToPage="1"/>
  </sheetPr>
  <dimension ref="A1:L55"/>
  <sheetViews>
    <sheetView showGridLines="0" tabSelected="1" topLeftCell="A6" workbookViewId="0">
      <selection activeCell="Q15" sqref="Q15"/>
    </sheetView>
  </sheetViews>
  <sheetFormatPr defaultRowHeight="14.5" x14ac:dyDescent="0.35"/>
  <cols>
    <col min="1" max="1" width="27.7265625" customWidth="1"/>
    <col min="2" max="4" width="15.81640625" customWidth="1"/>
    <col min="5" max="5" width="1.7265625" customWidth="1"/>
    <col min="6" max="8" width="15.81640625" style="9" customWidth="1"/>
    <col min="9" max="9" width="4.453125" bestFit="1" customWidth="1"/>
    <col min="10" max="10" width="40.26953125" bestFit="1" customWidth="1"/>
    <col min="11" max="11" width="14.26953125" customWidth="1"/>
    <col min="12" max="12" width="7.453125" customWidth="1"/>
  </cols>
  <sheetData>
    <row r="1" spans="1:12" ht="20" x14ac:dyDescent="0.4">
      <c r="A1" s="102" t="s">
        <v>171</v>
      </c>
      <c r="B1" s="102"/>
      <c r="C1" s="102"/>
      <c r="D1" s="102"/>
      <c r="E1" s="102"/>
      <c r="F1" s="102"/>
      <c r="G1" s="102"/>
      <c r="H1" s="102"/>
      <c r="I1" s="102"/>
      <c r="J1" s="102"/>
      <c r="K1" s="102"/>
      <c r="L1" s="102"/>
    </row>
    <row r="2" spans="1:12" ht="15.5" x14ac:dyDescent="0.35">
      <c r="A2" s="103" t="str">
        <f>"For Period Ending "&amp;Key!B5&amp;", "&amp;Key!B2</f>
        <v>For Period Ending May 31, 2024</v>
      </c>
      <c r="B2" s="103"/>
      <c r="C2" s="103"/>
      <c r="D2" s="103"/>
      <c r="E2" s="103"/>
      <c r="F2" s="103"/>
      <c r="G2" s="103"/>
      <c r="H2" s="103"/>
      <c r="I2" s="103"/>
      <c r="J2" s="103"/>
      <c r="K2" s="103"/>
      <c r="L2" s="103"/>
    </row>
    <row r="3" spans="1:12" ht="15" thickBot="1" x14ac:dyDescent="0.4"/>
    <row r="4" spans="1:12" ht="15" thickBot="1" x14ac:dyDescent="0.4">
      <c r="A4" s="104" t="s">
        <v>0</v>
      </c>
      <c r="B4" s="105"/>
      <c r="C4" s="105"/>
      <c r="D4" s="105"/>
      <c r="E4" s="105"/>
      <c r="F4" s="105"/>
      <c r="G4" s="105"/>
      <c r="H4" s="106"/>
    </row>
    <row r="5" spans="1:12" ht="15" customHeight="1" x14ac:dyDescent="0.35">
      <c r="A5" s="4"/>
      <c r="B5" s="5" t="str">
        <f>Key!B2&amp;" YTD Actual"</f>
        <v>2024 YTD Actual</v>
      </c>
      <c r="C5" s="5" t="str">
        <f>Key!B2&amp;" YTD Budget"</f>
        <v>2024 YTD Budget</v>
      </c>
      <c r="D5" s="44" t="s">
        <v>221</v>
      </c>
      <c r="E5" s="57"/>
      <c r="F5" s="43" t="str">
        <f>"Total "&amp;Key!B2&amp;" Budget"</f>
        <v>Total 2024 Budget</v>
      </c>
      <c r="G5" s="38" t="str">
        <f>Key!B3&amp;" YTD Actual"</f>
        <v>2023 YTD Actual</v>
      </c>
      <c r="H5" s="49" t="s">
        <v>225</v>
      </c>
    </row>
    <row r="6" spans="1:12" x14ac:dyDescent="0.35">
      <c r="A6" s="4" t="s">
        <v>185</v>
      </c>
      <c r="B6" s="37">
        <f>SUMIF('Budget vs. Actuals Totals'!$A:$A,$A6,'Budget vs. Actuals Totals'!C:C)</f>
        <v>205406.37000000002</v>
      </c>
      <c r="C6" s="37">
        <f>SUMIF('Budget vs. Actuals Totals'!$A:$A,$A6,'Budget vs. Actuals Totals'!D:D)</f>
        <v>203014.19999999998</v>
      </c>
      <c r="D6" s="45">
        <f>B6-C6</f>
        <v>2392.1700000000419</v>
      </c>
      <c r="E6" s="12"/>
      <c r="F6" s="39">
        <f>SUMIF('Full Year Budget'!A:A,A6,'Full Year Budget'!F:F)</f>
        <v>487234</v>
      </c>
      <c r="G6" s="37">
        <f>SUMIF('Actual vs. Prior Year'!A:A,A6,'Actual vs. Prior Year'!D:D)</f>
        <v>192669.34</v>
      </c>
      <c r="H6" s="50">
        <f>B6-G6</f>
        <v>12737.030000000028</v>
      </c>
    </row>
    <row r="7" spans="1:12" x14ac:dyDescent="0.35">
      <c r="A7" s="4" t="s">
        <v>186</v>
      </c>
      <c r="B7" s="37">
        <f>SUMIF('Budget vs. Actuals Totals'!$A:$A,$A7,'Budget vs. Actuals Totals'!C:C)</f>
        <v>0</v>
      </c>
      <c r="C7" s="37">
        <f>SUMIF('Budget vs. Actuals Totals'!$A:$A,$A7,'Budget vs. Actuals Totals'!D:D)</f>
        <v>0</v>
      </c>
      <c r="D7" s="45">
        <f t="shared" ref="D7:D10" si="0">B7-C7</f>
        <v>0</v>
      </c>
      <c r="E7" s="12"/>
      <c r="F7" s="39">
        <f>SUMIF('Full Year Budget'!A:A,A7,'Full Year Budget'!F:F)</f>
        <v>91723</v>
      </c>
      <c r="G7" s="37">
        <f>SUMIF('Actual vs. Prior Year'!A:A,A7,'Actual vs. Prior Year'!D:D)</f>
        <v>3800</v>
      </c>
      <c r="H7" s="50">
        <f t="shared" ref="H7:H10" si="1">B7-G7</f>
        <v>-3800</v>
      </c>
    </row>
    <row r="8" spans="1:12" x14ac:dyDescent="0.35">
      <c r="A8" s="4" t="s">
        <v>219</v>
      </c>
      <c r="B8" s="37">
        <f>SUMIF('Budget vs. Actuals Totals'!$A:$A,$A8,'Budget vs. Actuals Totals'!C:C)</f>
        <v>18446</v>
      </c>
      <c r="C8" s="37">
        <f>SUMIF('Budget vs. Actuals Totals'!$A:$A,$A8,'Budget vs. Actuals Totals'!D:D)</f>
        <v>16175.3</v>
      </c>
      <c r="D8" s="45">
        <f t="shared" si="0"/>
        <v>2270.7000000000007</v>
      </c>
      <c r="E8" s="12"/>
      <c r="F8" s="39">
        <f>SUMIF('Full Year Budget'!A:A,A8,'Full Year Budget'!F:F)</f>
        <v>66840.5</v>
      </c>
      <c r="G8" s="37">
        <f>SUMIF('Actual vs. Prior Year'!A:A,A8,'Actual vs. Prior Year'!D:D)</f>
        <v>24920</v>
      </c>
      <c r="H8" s="50">
        <f t="shared" si="1"/>
        <v>-6474</v>
      </c>
    </row>
    <row r="9" spans="1:12" x14ac:dyDescent="0.35">
      <c r="A9" s="4" t="s">
        <v>220</v>
      </c>
      <c r="B9" s="37">
        <f>SUMIF('Budget vs. Actuals Totals'!$A:$A,$A9,'Budget vs. Actuals Totals'!C:C)</f>
        <v>20800</v>
      </c>
      <c r="C9" s="37">
        <f>SUMIF('Budget vs. Actuals Totals'!$A:$A,$A9,'Budget vs. Actuals Totals'!D:D)</f>
        <v>10937.5</v>
      </c>
      <c r="D9" s="45">
        <f>B9-C9</f>
        <v>9862.5</v>
      </c>
      <c r="E9" s="12"/>
      <c r="F9" s="39">
        <f>SUMIF('Full Year Budget'!A:A,A9,'Full Year Budget'!F:F)</f>
        <v>26250</v>
      </c>
      <c r="G9" s="37">
        <f>SUMIF('Actual vs. Prior Year'!A:A,A9,'Actual vs. Prior Year'!D:D)</f>
        <v>7075</v>
      </c>
      <c r="H9" s="50">
        <f>B9-G9</f>
        <v>13725</v>
      </c>
    </row>
    <row r="10" spans="1:12" x14ac:dyDescent="0.35">
      <c r="A10" s="4" t="s">
        <v>178</v>
      </c>
      <c r="B10" s="37">
        <f>SUMIF('Budget vs. Actuals Totals'!$A:$A,$A10,'Budget vs. Actuals Totals'!C:C)</f>
        <v>1090.67</v>
      </c>
      <c r="C10" s="37">
        <f>SUMIF('Budget vs. Actuals Totals'!$A:$A,$A10,'Budget vs. Actuals Totals'!D:D)</f>
        <v>1416.65</v>
      </c>
      <c r="D10" s="45">
        <f t="shared" si="0"/>
        <v>-325.98</v>
      </c>
      <c r="E10" s="12"/>
      <c r="F10" s="39">
        <f>SUMIF('Full Year Budget'!A:A,A10,'Full Year Budget'!F:F)</f>
        <v>12400</v>
      </c>
      <c r="G10" s="37">
        <f>SUMIF('Actual vs. Prior Year'!A:A,A10,'Actual vs. Prior Year'!D:D)</f>
        <v>4734.57</v>
      </c>
      <c r="H10" s="50">
        <f t="shared" si="1"/>
        <v>-3643.8999999999996</v>
      </c>
    </row>
    <row r="11" spans="1:12" x14ac:dyDescent="0.35">
      <c r="A11" s="7" t="s">
        <v>5</v>
      </c>
      <c r="B11" s="25">
        <f>SUM(B6:B10)</f>
        <v>245743.04000000004</v>
      </c>
      <c r="C11" s="25">
        <f>SUM(C6:C10)</f>
        <v>231543.64999999997</v>
      </c>
      <c r="D11" s="46">
        <f>SUM(D6:D10)</f>
        <v>14199.390000000043</v>
      </c>
      <c r="E11" s="23"/>
      <c r="F11" s="40">
        <f>SUM(F6:F10)</f>
        <v>684447.5</v>
      </c>
      <c r="G11" s="25">
        <f>SUM(G6:G10)</f>
        <v>233198.91</v>
      </c>
      <c r="H11" s="51">
        <f>SUM(H6:H10)</f>
        <v>12544.130000000028</v>
      </c>
    </row>
    <row r="12" spans="1:12" x14ac:dyDescent="0.35">
      <c r="A12" s="4"/>
      <c r="B12" s="37"/>
      <c r="C12" s="37"/>
      <c r="D12" s="45"/>
      <c r="E12" s="12"/>
      <c r="F12" s="39"/>
      <c r="G12" s="37"/>
      <c r="H12" s="50"/>
    </row>
    <row r="13" spans="1:12" x14ac:dyDescent="0.35">
      <c r="A13" s="4" t="s">
        <v>218</v>
      </c>
      <c r="B13" s="37">
        <f>SUMIF('Budget vs. Actuals Totals'!$A:$A,$A13,'Budget vs. Actuals Totals'!C:C)</f>
        <v>190130.08</v>
      </c>
      <c r="C13" s="37">
        <f>SUMIF('Budget vs. Actuals Totals'!$A:$A,$A13,'Budget vs. Actuals Totals'!D:D)</f>
        <v>190674.6</v>
      </c>
      <c r="D13" s="45">
        <f>B13-C13</f>
        <v>-544.52000000001863</v>
      </c>
      <c r="E13" s="12"/>
      <c r="F13" s="39">
        <f>SUMIF('Full Year Budget'!A:A,A13,'Full Year Budget'!F:F)</f>
        <v>410118</v>
      </c>
      <c r="G13" s="37">
        <f>SUMIF('Actual vs. Prior Year'!A:A,A13,'Actual vs. Prior Year'!D:D)</f>
        <v>174840.27000000002</v>
      </c>
      <c r="H13" s="50">
        <f>B13-G13</f>
        <v>15289.809999999969</v>
      </c>
    </row>
    <row r="14" spans="1:12" x14ac:dyDescent="0.35">
      <c r="A14" s="4" t="s">
        <v>188</v>
      </c>
      <c r="B14" s="37">
        <f>SUMIF('Budget vs. Actuals Totals'!$A:$A,$A14,'Budget vs. Actuals Totals'!C:C)</f>
        <v>68234.13</v>
      </c>
      <c r="C14" s="37">
        <f>SUMIF('Budget vs. Actuals Totals'!$A:$A,$A14,'Budget vs. Actuals Totals'!D:D)</f>
        <v>49475</v>
      </c>
      <c r="D14" s="45">
        <f>B14-C14</f>
        <v>18759.130000000005</v>
      </c>
      <c r="E14" s="12"/>
      <c r="F14" s="39">
        <f>SUMIF('Full Year Budget'!A:A,A14,'Full Year Budget'!F:F)</f>
        <v>108660</v>
      </c>
      <c r="G14" s="37">
        <f>SUMIF('Actual vs. Prior Year'!A:A,A14,'Actual vs. Prior Year'!D:D)</f>
        <v>36958.5</v>
      </c>
      <c r="H14" s="50">
        <f>B14-G14</f>
        <v>31275.630000000005</v>
      </c>
    </row>
    <row r="15" spans="1:12" x14ac:dyDescent="0.35">
      <c r="A15" s="4" t="s">
        <v>187</v>
      </c>
      <c r="B15" s="37">
        <f>SUMIF('Budget vs. Actuals Totals'!$A:$A,$A15,'Budget vs. Actuals Totals'!C:C)</f>
        <v>14488.27</v>
      </c>
      <c r="C15" s="37">
        <f>SUMIF('Budget vs. Actuals Totals'!$A:$A,$A15,'Budget vs. Actuals Totals'!D:D)</f>
        <v>12845</v>
      </c>
      <c r="D15" s="45">
        <f>B15-C15</f>
        <v>1643.2700000000004</v>
      </c>
      <c r="E15" s="12"/>
      <c r="F15" s="39">
        <f>SUMIF('Full Year Budget'!A:A,A15,'Full Year Budget'!F:F)</f>
        <v>74723</v>
      </c>
      <c r="G15" s="37">
        <f>SUMIF('Actual vs. Prior Year'!A:A,A15,'Actual vs. Prior Year'!D:D)</f>
        <v>12854.95</v>
      </c>
      <c r="H15" s="50">
        <f t="shared" ref="H15:H16" si="2">B15-G15</f>
        <v>1633.3199999999997</v>
      </c>
    </row>
    <row r="16" spans="1:12" x14ac:dyDescent="0.35">
      <c r="A16" s="4" t="s">
        <v>191</v>
      </c>
      <c r="B16" s="37">
        <f>SUMIF('Budget vs. Actuals Totals'!$A:$A,$A16,'Budget vs. Actuals Totals'!C:C)</f>
        <v>23510.839999999997</v>
      </c>
      <c r="C16" s="37">
        <f>SUMIF('Budget vs. Actuals Totals'!$A:$A,$A16,'Budget vs. Actuals Totals'!D:D)</f>
        <v>25519.74</v>
      </c>
      <c r="D16" s="45">
        <f t="shared" ref="D16" si="3">B16-C16</f>
        <v>-2008.9000000000051</v>
      </c>
      <c r="E16" s="12"/>
      <c r="F16" s="39">
        <f>SUMIF('Full Year Budget'!A:A,A16,'Full Year Budget'!F:F)</f>
        <v>143134</v>
      </c>
      <c r="G16" s="37">
        <f>SUMIF('Actual vs. Prior Year'!A:A,A16,'Actual vs. Prior Year'!D:D)</f>
        <v>28024.11</v>
      </c>
      <c r="H16" s="50">
        <f t="shared" si="2"/>
        <v>-4513.2700000000041</v>
      </c>
    </row>
    <row r="17" spans="1:8" x14ac:dyDescent="0.35">
      <c r="A17" s="7" t="s">
        <v>6</v>
      </c>
      <c r="B17" s="25">
        <f>SUM(B13:B16)</f>
        <v>296363.31999999995</v>
      </c>
      <c r="C17" s="25">
        <f>SUM(C13:C16)</f>
        <v>278514.34000000003</v>
      </c>
      <c r="D17" s="46">
        <f>SUM(D13:D16)</f>
        <v>17848.979999999981</v>
      </c>
      <c r="E17" s="23"/>
      <c r="F17" s="40">
        <f>SUM(F13:F16)</f>
        <v>736635</v>
      </c>
      <c r="G17" s="25">
        <f>SUM(G13:G16)</f>
        <v>252677.83000000002</v>
      </c>
      <c r="H17" s="51">
        <f>SUM(H13:H16)</f>
        <v>43685.489999999969</v>
      </c>
    </row>
    <row r="18" spans="1:8" x14ac:dyDescent="0.35">
      <c r="A18" s="7" t="s">
        <v>161</v>
      </c>
      <c r="B18" s="25">
        <f>B11-B17</f>
        <v>-50620.279999999912</v>
      </c>
      <c r="C18" s="25">
        <f>C11-C17</f>
        <v>-46970.690000000061</v>
      </c>
      <c r="D18" s="46">
        <f>D11-D17</f>
        <v>-3649.5899999999383</v>
      </c>
      <c r="E18" s="23"/>
      <c r="F18" s="40">
        <f>F11-F17</f>
        <v>-52187.5</v>
      </c>
      <c r="G18" s="25">
        <f>G11-G17</f>
        <v>-19478.920000000013</v>
      </c>
      <c r="H18" s="51">
        <f>H11-H17</f>
        <v>-31141.359999999942</v>
      </c>
    </row>
    <row r="19" spans="1:8" x14ac:dyDescent="0.35">
      <c r="A19" s="7"/>
      <c r="B19" s="36"/>
      <c r="C19" s="36"/>
      <c r="D19" s="47"/>
      <c r="E19" s="55"/>
      <c r="F19" s="41"/>
      <c r="G19" s="36"/>
      <c r="H19" s="52"/>
    </row>
    <row r="20" spans="1:8" x14ac:dyDescent="0.35">
      <c r="A20" s="4" t="s">
        <v>189</v>
      </c>
      <c r="B20" s="37">
        <f>SUMIF('Budget vs. Actuals Totals'!$A:$A,$A20,'Budget vs. Actuals Totals'!C:C)</f>
        <v>30935.73</v>
      </c>
      <c r="C20" s="37">
        <f>SUMIF('Budget vs. Actuals Totals'!$A:$A,$A20,'Budget vs. Actuals Totals'!D:D)</f>
        <v>9375</v>
      </c>
      <c r="D20" s="45">
        <f t="shared" ref="D20" si="4">B20-C20</f>
        <v>21560.73</v>
      </c>
      <c r="E20" s="12"/>
      <c r="F20" s="39">
        <f>SUMIF('Full Year Budget'!A:A,A20,'Full Year Budget'!F:F)</f>
        <v>22500</v>
      </c>
      <c r="G20" s="37">
        <f>SUMIF('Actual vs. Prior Year'!A:A,A20,'Actual vs. Prior Year'!D:D)</f>
        <v>8164.87</v>
      </c>
      <c r="H20" s="50">
        <f t="shared" ref="H20:H24" si="5">B20-G20</f>
        <v>22770.86</v>
      </c>
    </row>
    <row r="21" spans="1:8" x14ac:dyDescent="0.35">
      <c r="A21" s="4" t="s">
        <v>3</v>
      </c>
      <c r="B21" s="37">
        <f>SUMIF('Budget vs. Actuals Totals'!$A:$A,$A21,'Budget vs. Actuals Totals'!C:C)</f>
        <v>0</v>
      </c>
      <c r="C21" s="37">
        <f>SUMIF('Budget vs. Actuals Totals'!$A:$A,$A21,'Budget vs. Actuals Totals'!D:D)</f>
        <v>0</v>
      </c>
      <c r="D21" s="45">
        <f t="shared" ref="D21:D24" si="6">B21-C21</f>
        <v>0</v>
      </c>
      <c r="E21" s="12"/>
      <c r="F21" s="39">
        <f>SUMIF('Full Year Budget'!A:A,A21,'Full Year Budget'!F:F)</f>
        <v>0</v>
      </c>
      <c r="G21" s="37">
        <f>SUMIF('Actual vs. Prior Year'!A:A,A21,'Actual vs. Prior Year'!D:D)</f>
        <v>0</v>
      </c>
      <c r="H21" s="50">
        <f t="shared" si="5"/>
        <v>0</v>
      </c>
    </row>
    <row r="22" spans="1:8" x14ac:dyDescent="0.35">
      <c r="A22" s="4" t="s">
        <v>190</v>
      </c>
      <c r="B22" s="37">
        <f>SUMIF('Budget vs. Actuals Totals'!$A:$A,$A22,'Budget vs. Actuals Totals'!C:C)</f>
        <v>4555.88</v>
      </c>
      <c r="C22" s="37">
        <f>SUMIF('Budget vs. Actuals Totals'!$A:$A,$A22,'Budget vs. Actuals Totals'!D:D)</f>
        <v>0</v>
      </c>
      <c r="D22" s="45">
        <f t="shared" si="6"/>
        <v>4555.88</v>
      </c>
      <c r="E22" s="12"/>
      <c r="F22" s="39">
        <f>SUMIF('Full Year Budget'!A:A,A22,'Full Year Budget'!F:F)</f>
        <v>0</v>
      </c>
      <c r="G22" s="37">
        <f>SUMIF('Actual vs. Prior Year'!A:A,A22,'Actual vs. Prior Year'!D:D)</f>
        <v>3009.8</v>
      </c>
      <c r="H22" s="50">
        <f t="shared" si="5"/>
        <v>1546.08</v>
      </c>
    </row>
    <row r="23" spans="1:8" x14ac:dyDescent="0.35">
      <c r="A23" s="4" t="s">
        <v>170</v>
      </c>
      <c r="B23" s="37">
        <f>-SUMIF('Budget vs. Actuals Totals'!$A:$A,$A23,'Budget vs. Actuals Totals'!C:C)</f>
        <v>-2060.27</v>
      </c>
      <c r="C23" s="37">
        <f>SUMIF('Budget vs. Actuals Totals'!$A:$A,$A23,'Budget vs. Actuals Totals'!D:D)</f>
        <v>0</v>
      </c>
      <c r="D23" s="45">
        <f t="shared" si="6"/>
        <v>-2060.27</v>
      </c>
      <c r="E23" s="12"/>
      <c r="F23" s="39">
        <f>-SUMIF('Full Year Budget'!A:A,A23,'Full Year Budget'!F:F)</f>
        <v>0</v>
      </c>
      <c r="G23" s="37">
        <f>-SUMIF('Actual vs. Prior Year'!A:A,A23,'Actual vs. Prior Year'!D:D)</f>
        <v>0</v>
      </c>
      <c r="H23" s="50">
        <f t="shared" si="5"/>
        <v>-2060.27</v>
      </c>
    </row>
    <row r="24" spans="1:8" x14ac:dyDescent="0.35">
      <c r="A24" s="4" t="s">
        <v>217</v>
      </c>
      <c r="B24" s="37">
        <f>-SUMIF('Budget vs. Actuals Totals'!$A:$A,$A24,'Budget vs. Actuals Totals'!C:C)</f>
        <v>0</v>
      </c>
      <c r="C24" s="37">
        <f>SUMIF('Budget vs. Actuals Totals'!$A:$A,$A24,'Budget vs. Actuals Totals'!D:D)</f>
        <v>0</v>
      </c>
      <c r="D24" s="45">
        <f t="shared" si="6"/>
        <v>0</v>
      </c>
      <c r="E24" s="12"/>
      <c r="F24" s="39">
        <f>-SUMIF('Full Year Budget'!A:A,A24,'Full Year Budget'!F:F)</f>
        <v>0</v>
      </c>
      <c r="G24" s="37">
        <f>-SUMIF('Actual vs. Prior Year'!A:A,A24,'Actual vs. Prior Year'!D:D)</f>
        <v>0</v>
      </c>
      <c r="H24" s="50">
        <f t="shared" si="5"/>
        <v>0</v>
      </c>
    </row>
    <row r="25" spans="1:8" x14ac:dyDescent="0.35">
      <c r="A25" s="4" t="s">
        <v>313</v>
      </c>
      <c r="B25" s="37">
        <f>-SUMIF('Budget vs. Actuals Totals'!$A:$A,$A25,'Budget vs. Actuals Totals'!C:C)</f>
        <v>0</v>
      </c>
      <c r="C25" s="37">
        <f>SUMIF('Budget vs. Actuals Totals'!$A:$A,$A25,'Budget vs. Actuals Totals'!D:D)</f>
        <v>0</v>
      </c>
      <c r="D25" s="45">
        <f t="shared" ref="D25" si="7">B25-C25</f>
        <v>0</v>
      </c>
      <c r="E25" s="12"/>
      <c r="F25" s="39">
        <f>-SUMIF('Full Year Budget'!A:A,A25,'Full Year Budget'!F:F)</f>
        <v>-1000</v>
      </c>
      <c r="G25" s="37">
        <f>-SUMIF('Actual vs. Prior Year'!A:A,A25,'Actual vs. Prior Year'!D:D)</f>
        <v>0</v>
      </c>
      <c r="H25" s="50">
        <f t="shared" ref="H25" si="8">B25-G25</f>
        <v>0</v>
      </c>
    </row>
    <row r="26" spans="1:8" x14ac:dyDescent="0.35">
      <c r="A26" s="7" t="s">
        <v>162</v>
      </c>
      <c r="B26" s="25">
        <f>SUM(B20:B25)</f>
        <v>33431.340000000004</v>
      </c>
      <c r="C26" s="25">
        <f>SUM(C20:C25)</f>
        <v>9375</v>
      </c>
      <c r="D26" s="46">
        <f>SUM(D20:D25)</f>
        <v>24056.34</v>
      </c>
      <c r="E26" s="23"/>
      <c r="F26" s="40">
        <f>SUM(F20:F25)</f>
        <v>21500</v>
      </c>
      <c r="G26" s="25">
        <f>SUM(G20:G25)</f>
        <v>11174.67</v>
      </c>
      <c r="H26" s="51">
        <f>SUM(H20:H25)</f>
        <v>22256.670000000002</v>
      </c>
    </row>
    <row r="27" spans="1:8" ht="15" thickBot="1" x14ac:dyDescent="0.4">
      <c r="A27" s="4"/>
      <c r="B27" s="37"/>
      <c r="C27" s="37"/>
      <c r="D27" s="45"/>
      <c r="E27" s="12"/>
      <c r="F27" s="39"/>
      <c r="G27" s="37"/>
      <c r="H27" s="50"/>
    </row>
    <row r="28" spans="1:8" ht="15" thickBot="1" x14ac:dyDescent="0.4">
      <c r="A28" s="8" t="s">
        <v>7</v>
      </c>
      <c r="B28" s="30">
        <f>B11-B17+B26</f>
        <v>-17188.939999999908</v>
      </c>
      <c r="C28" s="30">
        <f>C11-C17+C26</f>
        <v>-37595.690000000061</v>
      </c>
      <c r="D28" s="48">
        <f>D11-D17+D26</f>
        <v>20406.750000000062</v>
      </c>
      <c r="E28" s="58"/>
      <c r="F28" s="42">
        <f>F11-F17+F26</f>
        <v>-30687.5</v>
      </c>
      <c r="G28" s="30">
        <f>G11-G17+G26</f>
        <v>-8304.2500000000127</v>
      </c>
      <c r="H28" s="53">
        <f>H11-H17+H26</f>
        <v>-8884.6899999999405</v>
      </c>
    </row>
    <row r="29" spans="1:8" x14ac:dyDescent="0.35">
      <c r="D29" s="60"/>
    </row>
    <row r="30" spans="1:8" ht="15" thickBot="1" x14ac:dyDescent="0.4">
      <c r="B30" s="60"/>
    </row>
    <row r="31" spans="1:8" ht="15" thickBot="1" x14ac:dyDescent="0.4">
      <c r="A31" s="104" t="s">
        <v>8</v>
      </c>
      <c r="B31" s="105"/>
      <c r="C31" s="105"/>
      <c r="D31" s="106"/>
      <c r="E31" s="56"/>
      <c r="F31" s="109" t="s">
        <v>1</v>
      </c>
      <c r="G31" s="110"/>
      <c r="H31" s="111"/>
    </row>
    <row r="32" spans="1:8" x14ac:dyDescent="0.35">
      <c r="A32" s="11"/>
      <c r="B32" s="5" t="str">
        <f>Key!B5&amp;", "&amp;Key!B2</f>
        <v>May 31, 2024</v>
      </c>
      <c r="C32" s="5" t="str">
        <f>Key!B5&amp;" "&amp;Key!B3</f>
        <v>May 31 2023</v>
      </c>
      <c r="D32" s="6" t="s">
        <v>49</v>
      </c>
      <c r="E32" s="54"/>
      <c r="F32" s="107"/>
      <c r="G32" s="108"/>
      <c r="H32" s="28" t="s">
        <v>130</v>
      </c>
    </row>
    <row r="33" spans="1:9" x14ac:dyDescent="0.35">
      <c r="A33" s="4" t="s">
        <v>9</v>
      </c>
      <c r="B33" s="12">
        <f>SUMIF('Balance Sheet'!$A:$A,$A33,'Balance Sheet'!C:C)</f>
        <v>195722.73</v>
      </c>
      <c r="C33" s="12">
        <f>SUMIF('Balance Sheet'!$A:$A,$A33,'Balance Sheet'!D:D)</f>
        <v>205393.32</v>
      </c>
      <c r="D33" s="13">
        <f>B33-C33</f>
        <v>-9670.5899999999965</v>
      </c>
      <c r="E33" s="12"/>
      <c r="F33" s="98" t="s">
        <v>2</v>
      </c>
      <c r="G33" s="99"/>
      <c r="H33" s="14">
        <f>B33+B35</f>
        <v>1047524.1599999999</v>
      </c>
    </row>
    <row r="34" spans="1:9" x14ac:dyDescent="0.35">
      <c r="A34" s="4" t="s">
        <v>196</v>
      </c>
      <c r="B34" s="12">
        <f>SUMIF('Balance Sheet'!A:A,A34,'Balance Sheet'!C:C)</f>
        <v>-1666.4099999999999</v>
      </c>
      <c r="C34" s="12">
        <f>SUMIF('Balance Sheet'!$A:$A,$A34,'Balance Sheet'!D:D)</f>
        <v>-5423.15</v>
      </c>
      <c r="D34" s="13">
        <f>B34-C34</f>
        <v>3756.74</v>
      </c>
      <c r="E34" s="12"/>
      <c r="F34" s="98" t="s">
        <v>133</v>
      </c>
      <c r="G34" s="99"/>
      <c r="H34" s="14">
        <v>0</v>
      </c>
    </row>
    <row r="35" spans="1:9" x14ac:dyDescent="0.35">
      <c r="A35" s="4" t="s">
        <v>197</v>
      </c>
      <c r="B35" s="12">
        <f>SUMIF('Balance Sheet'!A:A,A35,'Balance Sheet'!C:C)</f>
        <v>851801.42999999993</v>
      </c>
      <c r="C35" s="12">
        <f>SUMIF('Balance Sheet'!$A:$A,$A35,'Balance Sheet'!D:D)</f>
        <v>763059.8600000001</v>
      </c>
      <c r="D35" s="13">
        <f>B35-C35</f>
        <v>88741.569999999832</v>
      </c>
      <c r="E35" s="12"/>
      <c r="F35" s="98" t="s">
        <v>132</v>
      </c>
      <c r="G35" s="99"/>
      <c r="H35" s="29">
        <f>SUM(H33:H34)</f>
        <v>1047524.1599999999</v>
      </c>
    </row>
    <row r="36" spans="1:9" x14ac:dyDescent="0.35">
      <c r="A36" s="4" t="s">
        <v>50</v>
      </c>
      <c r="B36" s="12">
        <f>SUMIF('Balance Sheet'!A:A,A36,'Balance Sheet'!C:C)</f>
        <v>21139.37</v>
      </c>
      <c r="C36" s="12">
        <f>SUMIF('Balance Sheet'!$A:$A,$A36,'Balance Sheet'!D:D)</f>
        <v>10000</v>
      </c>
      <c r="D36" s="13">
        <f>B36-C36</f>
        <v>11139.369999999999</v>
      </c>
      <c r="E36" s="12"/>
      <c r="F36" s="98" t="s">
        <v>166</v>
      </c>
      <c r="G36" s="99"/>
      <c r="H36" s="15">
        <f>H35/(F17/12)</f>
        <v>17.064475513653299</v>
      </c>
      <c r="I36" t="s">
        <v>167</v>
      </c>
    </row>
    <row r="37" spans="1:9" ht="15" thickBot="1" x14ac:dyDescent="0.4">
      <c r="A37" s="4" t="s">
        <v>198</v>
      </c>
      <c r="B37" s="12">
        <f>SUMIF('Balance Sheet'!A:A,A37,'Balance Sheet'!C:C)</f>
        <v>-0.17999999999983629</v>
      </c>
      <c r="C37" s="12">
        <f>SUMIF('Balance Sheet'!$A:$A,$A37,'Balance Sheet'!D:D)</f>
        <v>-0.17999999999301508</v>
      </c>
      <c r="D37" s="13">
        <f>B37-C37</f>
        <v>-6.8212102632969618E-12</v>
      </c>
      <c r="E37" s="12"/>
      <c r="F37" s="100" t="s">
        <v>4</v>
      </c>
      <c r="G37" s="101"/>
      <c r="H37" s="27" t="s">
        <v>131</v>
      </c>
    </row>
    <row r="38" spans="1:9" x14ac:dyDescent="0.35">
      <c r="A38" s="7" t="s">
        <v>10</v>
      </c>
      <c r="B38" s="23">
        <f>SUM(B33:B37)</f>
        <v>1066996.9400000002</v>
      </c>
      <c r="C38" s="23">
        <f>SUM(C33:C37)</f>
        <v>973029.85000000009</v>
      </c>
      <c r="D38" s="24">
        <f>SUM(D33:D37)</f>
        <v>93967.089999999836</v>
      </c>
      <c r="E38" s="55"/>
    </row>
    <row r="39" spans="1:9" x14ac:dyDescent="0.35">
      <c r="A39" s="4"/>
      <c r="B39" s="12"/>
      <c r="C39" s="12"/>
      <c r="D39" s="13"/>
      <c r="E39" s="12"/>
    </row>
    <row r="40" spans="1:9" x14ac:dyDescent="0.35">
      <c r="A40" s="4" t="s">
        <v>146</v>
      </c>
      <c r="B40" s="12">
        <f>SUMIF('Balance Sheet'!A:A,A40,'Balance Sheet'!C:C)</f>
        <v>1440.68</v>
      </c>
      <c r="C40" s="12">
        <f>SUMIF('Balance Sheet'!$A:$A,$A40,'Balance Sheet'!D:D)</f>
        <v>598.29</v>
      </c>
      <c r="D40" s="13">
        <f t="shared" ref="D40:D46" si="9">B40-C40</f>
        <v>842.3900000000001</v>
      </c>
      <c r="E40" s="12"/>
    </row>
    <row r="41" spans="1:9" x14ac:dyDescent="0.35">
      <c r="A41" s="4" t="s">
        <v>199</v>
      </c>
      <c r="B41" s="12">
        <f>SUMIF('Balance Sheet'!A:A,A41,'Balance Sheet'!C:C)</f>
        <v>21594.26</v>
      </c>
      <c r="C41" s="12">
        <f>SUMIF('Balance Sheet'!$A:$A,$A41,'Balance Sheet'!D:D)</f>
        <v>5865.49</v>
      </c>
      <c r="D41" s="13">
        <f t="shared" si="9"/>
        <v>15728.769999999999</v>
      </c>
      <c r="E41" s="12"/>
    </row>
    <row r="42" spans="1:9" x14ac:dyDescent="0.35">
      <c r="A42" s="4" t="s">
        <v>200</v>
      </c>
      <c r="B42" s="12">
        <f>SUMIF('Balance Sheet'!A:A,A42,'Balance Sheet'!C:C)</f>
        <v>38757.35</v>
      </c>
      <c r="C42" s="12">
        <f>SUMIF('Balance Sheet'!$A:$A,$A42,'Balance Sheet'!D:D)</f>
        <v>27182.879999999994</v>
      </c>
      <c r="D42" s="13">
        <f t="shared" si="9"/>
        <v>11574.470000000005</v>
      </c>
      <c r="E42" s="12"/>
    </row>
    <row r="43" spans="1:9" x14ac:dyDescent="0.35">
      <c r="A43" s="4" t="s">
        <v>446</v>
      </c>
      <c r="B43" s="12">
        <f>SUMIF('Balance Sheet'!A:A,A43,'Balance Sheet'!C:C)</f>
        <v>0</v>
      </c>
      <c r="C43" s="12">
        <f>SUMIF('Balance Sheet'!$A:$A,$A43,'Balance Sheet'!D:D)</f>
        <v>0</v>
      </c>
      <c r="D43" s="13">
        <f t="shared" ref="D43" si="10">B43-C43</f>
        <v>0</v>
      </c>
      <c r="E43" s="12"/>
    </row>
    <row r="44" spans="1:9" x14ac:dyDescent="0.35">
      <c r="A44" s="4" t="s">
        <v>201</v>
      </c>
      <c r="B44" s="12">
        <f>SUMIF('Balance Sheet'!A:A,A44,'Balance Sheet'!C:C)</f>
        <v>289688.93</v>
      </c>
      <c r="C44" s="12">
        <f>SUMIF('Balance Sheet'!$A:$A,$A44,'Balance Sheet'!D:D)</f>
        <v>263613.97000000003</v>
      </c>
      <c r="D44" s="13">
        <f t="shared" si="9"/>
        <v>26074.959999999963</v>
      </c>
      <c r="E44" s="12"/>
      <c r="G44" s="63"/>
    </row>
    <row r="45" spans="1:9" x14ac:dyDescent="0.35">
      <c r="A45" s="4" t="s">
        <v>203</v>
      </c>
      <c r="B45" s="12">
        <f>SUMIF('Balance Sheet'!A:A,A45,'Balance Sheet'!C:C)</f>
        <v>4299</v>
      </c>
      <c r="C45" s="12">
        <f>SUMIF('Balance Sheet'!$A:$A,$A45,'Balance Sheet'!D:D)</f>
        <v>0</v>
      </c>
      <c r="D45" s="13">
        <f t="shared" si="9"/>
        <v>4299</v>
      </c>
      <c r="E45" s="12"/>
    </row>
    <row r="46" spans="1:9" x14ac:dyDescent="0.35">
      <c r="A46" s="4" t="s">
        <v>202</v>
      </c>
      <c r="B46" s="12">
        <f>SUMIF('Balance Sheet'!A:A,A46,'Balance Sheet'!C:C)</f>
        <v>142960.54</v>
      </c>
      <c r="C46" s="12">
        <f>SUMIF('Balance Sheet'!$A:$A,$A46,'Balance Sheet'!D:D)</f>
        <v>144975.63</v>
      </c>
      <c r="D46" s="13">
        <f t="shared" si="9"/>
        <v>-2015.0899999999965</v>
      </c>
      <c r="E46" s="12"/>
    </row>
    <row r="47" spans="1:9" x14ac:dyDescent="0.35">
      <c r="A47" s="7" t="s">
        <v>11</v>
      </c>
      <c r="B47" s="23">
        <f>SUM(B40:B46)</f>
        <v>498740.76</v>
      </c>
      <c r="C47" s="23">
        <f>SUM(C40:C46)</f>
        <v>442236.26</v>
      </c>
      <c r="D47" s="24">
        <f>SUM(D40:D46)</f>
        <v>56504.499999999971</v>
      </c>
      <c r="E47" s="55"/>
    </row>
    <row r="48" spans="1:9" x14ac:dyDescent="0.35">
      <c r="A48" s="4"/>
      <c r="B48" s="12"/>
      <c r="C48" s="12"/>
      <c r="D48" s="13"/>
      <c r="E48" s="12"/>
    </row>
    <row r="49" spans="1:5" x14ac:dyDescent="0.35">
      <c r="A49" s="4" t="s">
        <v>12</v>
      </c>
      <c r="B49" s="12">
        <f>SUMIF('Balance Sheet'!A:A,A49,'Balance Sheet'!C:C)</f>
        <v>585445.12</v>
      </c>
      <c r="C49" s="12">
        <f>SUMIF('Balance Sheet'!$A:$A,$A49,'Balance Sheet'!D:D)</f>
        <v>539097.84</v>
      </c>
      <c r="D49" s="13">
        <f>B49-C49</f>
        <v>46347.280000000028</v>
      </c>
      <c r="E49" s="12"/>
    </row>
    <row r="50" spans="1:5" x14ac:dyDescent="0.35">
      <c r="A50" s="4" t="s">
        <v>24</v>
      </c>
      <c r="B50" s="12">
        <f>SUMIF('Balance Sheet'!A:A,A50,'Balance Sheet'!C:C)</f>
        <v>-17188.939999999999</v>
      </c>
      <c r="C50" s="12">
        <f>SUMIF('Balance Sheet'!$A:$A,$A50,'Balance Sheet'!D:D)</f>
        <v>-8304.25</v>
      </c>
      <c r="D50" s="13">
        <f>B50-C50</f>
        <v>-8884.6899999999987</v>
      </c>
      <c r="E50" s="12"/>
    </row>
    <row r="51" spans="1:5" x14ac:dyDescent="0.35">
      <c r="A51" s="7" t="s">
        <v>13</v>
      </c>
      <c r="B51" s="25">
        <f>SUM(B49:B50)</f>
        <v>568256.18000000005</v>
      </c>
      <c r="C51" s="25">
        <f>SUM(C49:C50)</f>
        <v>530793.59</v>
      </c>
      <c r="D51" s="10">
        <f>SUM(D49:D50)</f>
        <v>37462.590000000026</v>
      </c>
      <c r="E51" s="36"/>
    </row>
    <row r="52" spans="1:5" ht="15" thickBot="1" x14ac:dyDescent="0.4">
      <c r="A52" s="26" t="s">
        <v>123</v>
      </c>
      <c r="B52" s="31">
        <f>B51+B47</f>
        <v>1066996.94</v>
      </c>
      <c r="C52" s="31">
        <f>C51+C47</f>
        <v>973029.85</v>
      </c>
      <c r="D52" s="32">
        <f>D51+D47</f>
        <v>93967.09</v>
      </c>
      <c r="E52" s="36"/>
    </row>
    <row r="54" spans="1:5" x14ac:dyDescent="0.35">
      <c r="A54" s="59" t="s">
        <v>169</v>
      </c>
    </row>
    <row r="55" spans="1:5" x14ac:dyDescent="0.35">
      <c r="A55" s="59" t="s">
        <v>168</v>
      </c>
    </row>
  </sheetData>
  <mergeCells count="11">
    <mergeCell ref="F36:G36"/>
    <mergeCell ref="F37:G37"/>
    <mergeCell ref="A1:L1"/>
    <mergeCell ref="A2:L2"/>
    <mergeCell ref="A31:D31"/>
    <mergeCell ref="A4:H4"/>
    <mergeCell ref="F32:G32"/>
    <mergeCell ref="F31:H31"/>
    <mergeCell ref="F33:G33"/>
    <mergeCell ref="F34:G34"/>
    <mergeCell ref="F35:G35"/>
  </mergeCells>
  <conditionalFormatting sqref="B33:E52">
    <cfRule type="cellIs" dxfId="1" priority="1" operator="lessThan">
      <formula>0</formula>
    </cfRule>
  </conditionalFormatting>
  <pageMargins left="0.7" right="0.7" top="0.75" bottom="0.75" header="0.3" footer="0.3"/>
  <pageSetup scale="59" orientation="landscape" r:id="rId1"/>
  <colBreaks count="1" manualBreakCount="1">
    <brk id="12"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BBBB4-DF2C-4A2D-98FD-4D26FA534BA0}">
  <sheetPr>
    <tabColor theme="9" tint="0.79998168889431442"/>
  </sheetPr>
  <dimension ref="A1:H100"/>
  <sheetViews>
    <sheetView topLeftCell="B1" workbookViewId="0">
      <selection activeCell="G50" sqref="G50"/>
    </sheetView>
  </sheetViews>
  <sheetFormatPr defaultRowHeight="14.5" outlineLevelCol="1" x14ac:dyDescent="0.35"/>
  <cols>
    <col min="1" max="1" width="24.54296875" hidden="1" customWidth="1" outlineLevel="1"/>
    <col min="2" max="2" width="45.54296875" customWidth="1" collapsed="1"/>
    <col min="3" max="5" width="14.26953125" style="3" customWidth="1"/>
    <col min="6" max="6" width="14.26953125" customWidth="1"/>
    <col min="7" max="7" width="50.81640625" customWidth="1"/>
  </cols>
  <sheetData>
    <row r="1" spans="1:8" ht="18" x14ac:dyDescent="0.4">
      <c r="B1" s="114" t="s">
        <v>172</v>
      </c>
      <c r="C1" s="115"/>
      <c r="D1" s="115"/>
      <c r="E1" s="115"/>
      <c r="F1" s="115"/>
    </row>
    <row r="2" spans="1:8" ht="18" x14ac:dyDescent="0.4">
      <c r="B2" s="116" t="s">
        <v>145</v>
      </c>
      <c r="C2" s="115"/>
      <c r="D2" s="115"/>
      <c r="E2" s="115"/>
      <c r="F2" s="115"/>
    </row>
    <row r="3" spans="1:8" x14ac:dyDescent="0.35">
      <c r="B3" s="117" t="s">
        <v>462</v>
      </c>
      <c r="C3" s="118"/>
      <c r="D3" s="118"/>
      <c r="E3" s="118"/>
      <c r="F3" s="118"/>
    </row>
    <row r="4" spans="1:8" x14ac:dyDescent="0.35">
      <c r="C4"/>
      <c r="D4"/>
      <c r="E4"/>
    </row>
    <row r="5" spans="1:8" x14ac:dyDescent="0.35">
      <c r="B5" s="1"/>
      <c r="C5" s="112" t="s">
        <v>14</v>
      </c>
      <c r="D5" s="113"/>
      <c r="E5" s="113"/>
      <c r="F5" s="113"/>
    </row>
    <row r="6" spans="1:8" x14ac:dyDescent="0.35">
      <c r="B6" s="1"/>
      <c r="C6" s="83" t="s">
        <v>15</v>
      </c>
      <c r="D6" s="83" t="s">
        <v>16</v>
      </c>
      <c r="E6" s="83" t="s">
        <v>17</v>
      </c>
      <c r="F6" s="83" t="s">
        <v>18</v>
      </c>
      <c r="G6" s="2" t="s">
        <v>299</v>
      </c>
    </row>
    <row r="7" spans="1:8" x14ac:dyDescent="0.35">
      <c r="A7" t="e">
        <f>VLOOKUP(B7,Key!A:B,2,FALSE)</f>
        <v>#N/A</v>
      </c>
      <c r="B7" s="16" t="s">
        <v>173</v>
      </c>
      <c r="C7" s="84"/>
      <c r="D7" s="84"/>
      <c r="E7" s="84"/>
      <c r="F7" s="84"/>
    </row>
    <row r="8" spans="1:8" x14ac:dyDescent="0.35">
      <c r="A8" t="str">
        <f>VLOOKUP(B8,Key!A:B,2,FALSE)</f>
        <v>Membership Dues</v>
      </c>
      <c r="B8" s="16" t="s">
        <v>315</v>
      </c>
      <c r="C8" s="85">
        <v>0</v>
      </c>
      <c r="D8" s="85">
        <v>0</v>
      </c>
      <c r="E8" s="85">
        <v>0</v>
      </c>
      <c r="F8" s="86" t="s">
        <v>137</v>
      </c>
    </row>
    <row r="9" spans="1:8" x14ac:dyDescent="0.35">
      <c r="A9" t="str">
        <f>VLOOKUP(B9,Key!A:B,2,FALSE)</f>
        <v>Membership Dues</v>
      </c>
      <c r="B9" s="16" t="s">
        <v>316</v>
      </c>
      <c r="C9" s="85">
        <v>4812.8999999999996</v>
      </c>
      <c r="D9" s="85">
        <v>6570.85</v>
      </c>
      <c r="E9" s="85">
        <v>-1757.9500000000007</v>
      </c>
      <c r="F9" s="86">
        <v>0.73246231461683031</v>
      </c>
    </row>
    <row r="10" spans="1:8" x14ac:dyDescent="0.35">
      <c r="A10" t="str">
        <f>VLOOKUP(B10,Key!A:B,2,FALSE)</f>
        <v>Membership Dues</v>
      </c>
      <c r="B10" s="16" t="s">
        <v>317</v>
      </c>
      <c r="C10" s="85">
        <v>51058.39</v>
      </c>
      <c r="D10" s="85">
        <v>36458.35</v>
      </c>
      <c r="E10" s="85">
        <v>14600.04</v>
      </c>
      <c r="F10" s="86">
        <v>1.4004580569334597</v>
      </c>
    </row>
    <row r="11" spans="1:8" x14ac:dyDescent="0.35">
      <c r="A11" t="str">
        <f>VLOOKUP(B11,Key!A:B,2,FALSE)</f>
        <v>Membership Dues</v>
      </c>
      <c r="B11" s="16" t="s">
        <v>318</v>
      </c>
      <c r="C11" s="85">
        <v>38403.279999999999</v>
      </c>
      <c r="D11" s="85">
        <v>44633.35</v>
      </c>
      <c r="E11" s="85">
        <v>-6230.07</v>
      </c>
      <c r="F11" s="86">
        <v>0.86041670634178258</v>
      </c>
    </row>
    <row r="12" spans="1:8" x14ac:dyDescent="0.35">
      <c r="A12" t="str">
        <f>VLOOKUP(B12,Key!A:B,2,FALSE)</f>
        <v>Membership Dues</v>
      </c>
      <c r="B12" s="16" t="s">
        <v>319</v>
      </c>
      <c r="C12" s="85">
        <v>44502.6</v>
      </c>
      <c r="D12" s="85">
        <v>37916.65</v>
      </c>
      <c r="E12" s="85">
        <v>6585.9499999999971</v>
      </c>
      <c r="F12" s="86">
        <v>1.1736954609650376</v>
      </c>
    </row>
    <row r="13" spans="1:8" x14ac:dyDescent="0.35">
      <c r="A13" t="str">
        <f>VLOOKUP(B13,Key!A:B,2,FALSE)</f>
        <v>Membership Dues</v>
      </c>
      <c r="B13" s="16" t="s">
        <v>320</v>
      </c>
      <c r="C13" s="85">
        <v>19843.75</v>
      </c>
      <c r="D13" s="85">
        <v>15875</v>
      </c>
      <c r="E13" s="85">
        <v>3968.75</v>
      </c>
      <c r="F13" s="86">
        <v>1.25</v>
      </c>
    </row>
    <row r="14" spans="1:8" x14ac:dyDescent="0.35">
      <c r="A14" t="str">
        <f>VLOOKUP(B14,Key!A:B,2,FALSE)</f>
        <v>Membership Dues</v>
      </c>
      <c r="B14" s="16" t="s">
        <v>321</v>
      </c>
      <c r="C14" s="85">
        <v>31697.5</v>
      </c>
      <c r="D14" s="85">
        <v>31697.5</v>
      </c>
      <c r="E14" s="85">
        <v>0</v>
      </c>
      <c r="F14" s="86">
        <v>1</v>
      </c>
      <c r="H14" s="21"/>
    </row>
    <row r="15" spans="1:8" x14ac:dyDescent="0.35">
      <c r="A15" t="str">
        <f>VLOOKUP(B15,Key!A:B,2,FALSE)</f>
        <v>Membership Dues</v>
      </c>
      <c r="B15" s="16" t="s">
        <v>322</v>
      </c>
      <c r="C15" s="85">
        <v>7315</v>
      </c>
      <c r="D15" s="85">
        <v>11550</v>
      </c>
      <c r="E15" s="85">
        <v>-4235</v>
      </c>
      <c r="F15" s="86">
        <v>0.6333333333333333</v>
      </c>
      <c r="H15" s="21"/>
    </row>
    <row r="16" spans="1:8" x14ac:dyDescent="0.35">
      <c r="A16" t="str">
        <f>VLOOKUP(B16,Key!A:B,2,FALSE)</f>
        <v>Membership Dues</v>
      </c>
      <c r="B16" s="16" t="s">
        <v>323</v>
      </c>
      <c r="C16" s="85">
        <v>7427.1</v>
      </c>
      <c r="D16" s="85">
        <v>10656.25</v>
      </c>
      <c r="E16" s="85">
        <v>-3229.1499999999996</v>
      </c>
      <c r="F16" s="86">
        <v>0.69697126099706752</v>
      </c>
      <c r="H16" s="21"/>
    </row>
    <row r="17" spans="1:8" x14ac:dyDescent="0.35">
      <c r="A17" t="str">
        <f>VLOOKUP(B17,Key!A:B,2,FALSE)</f>
        <v>Membership Dues</v>
      </c>
      <c r="B17" s="16" t="s">
        <v>450</v>
      </c>
      <c r="C17" s="85">
        <v>345.85</v>
      </c>
      <c r="D17" s="85">
        <v>7656.25</v>
      </c>
      <c r="E17" s="85">
        <v>-7310.4</v>
      </c>
      <c r="F17" s="86">
        <v>4.5172244897959186E-2</v>
      </c>
      <c r="H17" s="21"/>
    </row>
    <row r="18" spans="1:8" x14ac:dyDescent="0.35">
      <c r="A18" t="e">
        <f>VLOOKUP(B18,Key!A:B,2,FALSE)</f>
        <v>#N/A</v>
      </c>
      <c r="B18" s="16" t="s">
        <v>324</v>
      </c>
      <c r="C18" s="87">
        <v>205406.37000000002</v>
      </c>
      <c r="D18" s="87">
        <v>203014.19999999998</v>
      </c>
      <c r="E18" s="87">
        <v>2392.1700000000419</v>
      </c>
      <c r="F18" s="88">
        <v>1.0117832644218978</v>
      </c>
      <c r="H18" s="21"/>
    </row>
    <row r="19" spans="1:8" x14ac:dyDescent="0.35">
      <c r="A19" t="str">
        <f>VLOOKUP(B19,Key!A:B,2,FALSE)</f>
        <v>Annual Meeting</v>
      </c>
      <c r="B19" s="16" t="s">
        <v>325</v>
      </c>
      <c r="C19" s="85">
        <v>0</v>
      </c>
      <c r="D19" s="85">
        <v>0</v>
      </c>
      <c r="E19" s="85">
        <v>0</v>
      </c>
      <c r="F19" s="86" t="s">
        <v>137</v>
      </c>
      <c r="H19" s="21"/>
    </row>
    <row r="20" spans="1:8" x14ac:dyDescent="0.35">
      <c r="A20" t="str">
        <f>VLOOKUP(B20,Key!A:B,2,FALSE)</f>
        <v>Annual Meeting</v>
      </c>
      <c r="B20" s="16" t="s">
        <v>326</v>
      </c>
      <c r="C20" s="85">
        <v>0</v>
      </c>
      <c r="D20" s="85">
        <v>0</v>
      </c>
      <c r="E20" s="85">
        <v>0</v>
      </c>
      <c r="F20" s="86" t="s">
        <v>137</v>
      </c>
      <c r="H20" s="21"/>
    </row>
    <row r="21" spans="1:8" x14ac:dyDescent="0.35">
      <c r="A21" t="str">
        <f>VLOOKUP(B21,Key!A:B,2,FALSE)</f>
        <v>Annual Meeting</v>
      </c>
      <c r="B21" s="16" t="s">
        <v>327</v>
      </c>
      <c r="C21" s="85">
        <v>0</v>
      </c>
      <c r="D21" s="85">
        <v>0</v>
      </c>
      <c r="E21" s="85">
        <v>0</v>
      </c>
      <c r="F21" s="86" t="s">
        <v>137</v>
      </c>
      <c r="H21" s="22"/>
    </row>
    <row r="22" spans="1:8" x14ac:dyDescent="0.35">
      <c r="A22" t="str">
        <f>VLOOKUP(B22,Key!A:B,2,FALSE)</f>
        <v>Annual Meeting</v>
      </c>
      <c r="B22" s="16" t="s">
        <v>328</v>
      </c>
      <c r="C22" s="85">
        <v>0</v>
      </c>
      <c r="D22" s="85">
        <v>0</v>
      </c>
      <c r="E22" s="85">
        <v>0</v>
      </c>
      <c r="F22" s="86" t="s">
        <v>137</v>
      </c>
      <c r="H22" s="21"/>
    </row>
    <row r="23" spans="1:8" x14ac:dyDescent="0.35">
      <c r="A23" t="e">
        <f>VLOOKUP(B23,Key!A:B,2,FALSE)</f>
        <v>#N/A</v>
      </c>
      <c r="B23" s="16" t="s">
        <v>329</v>
      </c>
      <c r="C23" s="87">
        <v>0</v>
      </c>
      <c r="D23" s="87">
        <v>0</v>
      </c>
      <c r="E23" s="87">
        <v>0</v>
      </c>
      <c r="F23" s="88" t="s">
        <v>137</v>
      </c>
      <c r="H23" s="21"/>
    </row>
    <row r="24" spans="1:8" x14ac:dyDescent="0.35">
      <c r="A24" t="str">
        <f>VLOOKUP(B24,Key!A:B,2,FALSE)</f>
        <v>Other Education</v>
      </c>
      <c r="B24" s="16" t="s">
        <v>330</v>
      </c>
      <c r="C24" s="85">
        <v>0</v>
      </c>
      <c r="D24" s="85">
        <v>0</v>
      </c>
      <c r="E24" s="85">
        <v>0</v>
      </c>
      <c r="F24" s="86" t="s">
        <v>137</v>
      </c>
      <c r="H24" s="21"/>
    </row>
    <row r="25" spans="1:8" x14ac:dyDescent="0.35">
      <c r="A25" t="str">
        <f>VLOOKUP(B25,Key!A:B,2,FALSE)</f>
        <v>Other Education</v>
      </c>
      <c r="B25" s="16" t="s">
        <v>331</v>
      </c>
      <c r="C25" s="85">
        <v>18446</v>
      </c>
      <c r="D25" s="85">
        <v>16175.3</v>
      </c>
      <c r="E25" s="85">
        <v>2270.7000000000007</v>
      </c>
      <c r="F25" s="86">
        <v>1.1403807039127558</v>
      </c>
      <c r="H25" s="21"/>
    </row>
    <row r="26" spans="1:8" x14ac:dyDescent="0.35">
      <c r="A26" t="str">
        <f>VLOOKUP(B26,Key!A:B,2,FALSE)</f>
        <v>Other Education</v>
      </c>
      <c r="B26" s="16" t="s">
        <v>451</v>
      </c>
      <c r="C26" s="85">
        <v>0</v>
      </c>
      <c r="D26" s="85">
        <v>0</v>
      </c>
      <c r="E26" s="85">
        <v>0</v>
      </c>
      <c r="F26" s="86" t="s">
        <v>137</v>
      </c>
      <c r="H26" s="21"/>
    </row>
    <row r="27" spans="1:8" x14ac:dyDescent="0.35">
      <c r="A27" t="e">
        <f>VLOOKUP(B27,Key!A:B,2,FALSE)</f>
        <v>#N/A</v>
      </c>
      <c r="B27" s="16" t="s">
        <v>332</v>
      </c>
      <c r="C27" s="87">
        <v>18446</v>
      </c>
      <c r="D27" s="87">
        <v>16175.3</v>
      </c>
      <c r="E27" s="87">
        <v>2270.7000000000007</v>
      </c>
      <c r="F27" s="88">
        <v>1.1403807039127558</v>
      </c>
      <c r="H27" s="21"/>
    </row>
    <row r="28" spans="1:8" x14ac:dyDescent="0.35">
      <c r="A28" t="e">
        <f>VLOOKUP(B28,Key!A:B,2,FALSE)</f>
        <v>#N/A</v>
      </c>
      <c r="B28" s="16" t="s">
        <v>333</v>
      </c>
      <c r="C28" s="87">
        <v>18446</v>
      </c>
      <c r="D28" s="87">
        <v>16175.3</v>
      </c>
      <c r="E28" s="87">
        <v>2270.7000000000007</v>
      </c>
      <c r="F28" s="88">
        <v>1.1403807039127558</v>
      </c>
      <c r="H28" s="21"/>
    </row>
    <row r="29" spans="1:8" x14ac:dyDescent="0.35">
      <c r="A29" t="str">
        <f>VLOOKUP(B29,Key!A:B,2,FALSE)</f>
        <v>Sponsorships</v>
      </c>
      <c r="B29" s="16" t="s">
        <v>334</v>
      </c>
      <c r="C29" s="85">
        <v>20800</v>
      </c>
      <c r="D29" s="85">
        <v>10937.5</v>
      </c>
      <c r="E29" s="85">
        <v>9862.5</v>
      </c>
      <c r="F29" s="86">
        <v>1.9017142857142857</v>
      </c>
      <c r="H29" s="21"/>
    </row>
    <row r="30" spans="1:8" x14ac:dyDescent="0.35">
      <c r="A30" t="str">
        <f>VLOOKUP(B30,Key!A:B,2,FALSE)</f>
        <v>Other Revenue</v>
      </c>
      <c r="B30" s="16" t="s">
        <v>335</v>
      </c>
      <c r="C30" s="85">
        <v>0</v>
      </c>
      <c r="D30" s="85">
        <v>0</v>
      </c>
      <c r="E30" s="85">
        <v>0</v>
      </c>
      <c r="F30" s="86" t="s">
        <v>137</v>
      </c>
      <c r="H30" s="21"/>
    </row>
    <row r="31" spans="1:8" x14ac:dyDescent="0.35">
      <c r="A31" t="str">
        <f>VLOOKUP(B31,Key!A:B,2,FALSE)</f>
        <v>Other Revenue</v>
      </c>
      <c r="B31" s="16" t="s">
        <v>336</v>
      </c>
      <c r="C31" s="85">
        <v>0</v>
      </c>
      <c r="D31" s="85">
        <v>62.5</v>
      </c>
      <c r="E31" s="85">
        <v>-62.5</v>
      </c>
      <c r="F31" s="86">
        <v>0</v>
      </c>
      <c r="H31" s="22"/>
    </row>
    <row r="32" spans="1:8" x14ac:dyDescent="0.35">
      <c r="A32" t="str">
        <f>VLOOKUP(B32,Key!A:B,2,FALSE)</f>
        <v>Other Revenue</v>
      </c>
      <c r="B32" s="16" t="s">
        <v>337</v>
      </c>
      <c r="C32" s="85">
        <v>163.4</v>
      </c>
      <c r="D32" s="85">
        <v>729.15</v>
      </c>
      <c r="E32" s="85">
        <v>-565.75</v>
      </c>
      <c r="F32" s="86">
        <v>0.22409655077830351</v>
      </c>
      <c r="H32" s="22"/>
    </row>
    <row r="33" spans="1:8" x14ac:dyDescent="0.35">
      <c r="A33" t="str">
        <f>VLOOKUP(B33,Key!A:B,2,FALSE)</f>
        <v>Other Revenue</v>
      </c>
      <c r="B33" s="16" t="s">
        <v>338</v>
      </c>
      <c r="C33" s="85">
        <v>877.27</v>
      </c>
      <c r="D33" s="85">
        <v>625</v>
      </c>
      <c r="E33" s="85">
        <v>252.26999999999998</v>
      </c>
      <c r="F33" s="86">
        <v>1.403632</v>
      </c>
      <c r="H33" s="21"/>
    </row>
    <row r="34" spans="1:8" x14ac:dyDescent="0.35">
      <c r="A34" t="str">
        <f>VLOOKUP(B34,Key!A:B,2,FALSE)</f>
        <v>Other Revenue</v>
      </c>
      <c r="B34" s="16" t="s">
        <v>339</v>
      </c>
      <c r="C34" s="85">
        <v>0</v>
      </c>
      <c r="D34" s="85">
        <v>0</v>
      </c>
      <c r="E34" s="85">
        <v>0</v>
      </c>
      <c r="F34" s="86" t="s">
        <v>137</v>
      </c>
      <c r="H34" s="22"/>
    </row>
    <row r="35" spans="1:8" x14ac:dyDescent="0.35">
      <c r="A35" t="str">
        <f>VLOOKUP(B35,Key!A:B,2,FALSE)</f>
        <v>Other Revenue</v>
      </c>
      <c r="B35" s="16" t="s">
        <v>340</v>
      </c>
      <c r="C35" s="85">
        <v>50</v>
      </c>
      <c r="D35" s="85">
        <v>0</v>
      </c>
      <c r="E35" s="85">
        <v>50</v>
      </c>
      <c r="F35" s="86" t="s">
        <v>137</v>
      </c>
    </row>
    <row r="36" spans="1:8" x14ac:dyDescent="0.35">
      <c r="A36" t="e">
        <f>VLOOKUP(B36,Key!A:B,2,FALSE)</f>
        <v>#N/A</v>
      </c>
      <c r="B36" s="16" t="s">
        <v>341</v>
      </c>
      <c r="C36" s="87">
        <v>1090.67</v>
      </c>
      <c r="D36" s="87">
        <v>1416.65</v>
      </c>
      <c r="E36" s="87">
        <v>-325.98</v>
      </c>
      <c r="F36" s="88">
        <v>0.76989376345604066</v>
      </c>
    </row>
    <row r="37" spans="1:8" x14ac:dyDescent="0.35">
      <c r="A37" t="e">
        <f>VLOOKUP(B37,Key!A:B,2,FALSE)</f>
        <v>#N/A</v>
      </c>
      <c r="B37" s="16" t="s">
        <v>174</v>
      </c>
      <c r="C37" s="87">
        <v>245743.04000000004</v>
      </c>
      <c r="D37" s="87">
        <v>231543.65</v>
      </c>
      <c r="E37" s="87">
        <v>14199.390000000043</v>
      </c>
      <c r="F37" s="88">
        <v>1.0613248948956278</v>
      </c>
    </row>
    <row r="38" spans="1:8" x14ac:dyDescent="0.35">
      <c r="A38" t="e">
        <f>VLOOKUP(B38,Key!A:B,2,FALSE)</f>
        <v>#N/A</v>
      </c>
      <c r="B38" s="16" t="s">
        <v>20</v>
      </c>
      <c r="C38" s="87">
        <v>245743.04000000004</v>
      </c>
      <c r="D38" s="87">
        <v>231543.65</v>
      </c>
      <c r="E38" s="87">
        <v>14199.390000000043</v>
      </c>
      <c r="F38" s="88">
        <v>1.0613248948956278</v>
      </c>
    </row>
    <row r="39" spans="1:8" x14ac:dyDescent="0.35">
      <c r="A39" t="e">
        <f>VLOOKUP(B39,Key!A:B,2,FALSE)</f>
        <v>#N/A</v>
      </c>
      <c r="B39" s="16" t="s">
        <v>175</v>
      </c>
      <c r="C39" s="84"/>
      <c r="D39" s="84"/>
      <c r="E39" s="84"/>
      <c r="F39" s="84"/>
    </row>
    <row r="40" spans="1:8" x14ac:dyDescent="0.35">
      <c r="A40" t="str">
        <f>VLOOKUP(B40,Key!A:B,2,FALSE)</f>
        <v>Event Expenses</v>
      </c>
      <c r="B40" s="16" t="s">
        <v>342</v>
      </c>
      <c r="C40" s="85">
        <v>0</v>
      </c>
      <c r="D40" s="85">
        <v>0</v>
      </c>
      <c r="E40" s="85">
        <v>0</v>
      </c>
      <c r="F40" s="86" t="s">
        <v>137</v>
      </c>
    </row>
    <row r="41" spans="1:8" x14ac:dyDescent="0.35">
      <c r="A41" t="str">
        <f>VLOOKUP(B41,Key!A:B,2,FALSE)</f>
        <v>Event Expenses</v>
      </c>
      <c r="B41" s="16" t="s">
        <v>343</v>
      </c>
      <c r="C41" s="85">
        <v>714.01</v>
      </c>
      <c r="D41" s="85">
        <v>0</v>
      </c>
      <c r="E41" s="85">
        <v>714.01</v>
      </c>
      <c r="F41" s="86" t="s">
        <v>137</v>
      </c>
    </row>
    <row r="42" spans="1:8" x14ac:dyDescent="0.35">
      <c r="A42" t="str">
        <f>VLOOKUP(B42,Key!A:B,2,FALSE)</f>
        <v>Event Expenses</v>
      </c>
      <c r="B42" s="16" t="s">
        <v>452</v>
      </c>
      <c r="C42" s="85">
        <v>6750</v>
      </c>
      <c r="D42" s="85">
        <v>6750</v>
      </c>
      <c r="E42" s="85">
        <v>0</v>
      </c>
      <c r="F42" s="86">
        <v>1</v>
      </c>
    </row>
    <row r="43" spans="1:8" x14ac:dyDescent="0.35">
      <c r="A43" t="str">
        <f>VLOOKUP(B43,Key!A:B,2,FALSE)</f>
        <v>Event Expenses</v>
      </c>
      <c r="B43" s="16" t="s">
        <v>344</v>
      </c>
      <c r="C43" s="85">
        <v>7024.26</v>
      </c>
      <c r="D43" s="85">
        <v>6095</v>
      </c>
      <c r="E43" s="85">
        <v>929.26000000000022</v>
      </c>
      <c r="F43" s="86">
        <v>1.1524626743232158</v>
      </c>
    </row>
    <row r="44" spans="1:8" x14ac:dyDescent="0.35">
      <c r="A44" t="e">
        <f>VLOOKUP(B44,Key!A:B,2,FALSE)</f>
        <v>#N/A</v>
      </c>
      <c r="B44" s="16" t="s">
        <v>345</v>
      </c>
      <c r="C44" s="87">
        <v>14488.27</v>
      </c>
      <c r="D44" s="87">
        <v>12845</v>
      </c>
      <c r="E44" s="87">
        <v>1643.2700000000004</v>
      </c>
      <c r="F44" s="88">
        <v>1.1279307123394318</v>
      </c>
    </row>
    <row r="45" spans="1:8" x14ac:dyDescent="0.35">
      <c r="A45" t="str">
        <f>VLOOKUP(B45,Key!A:B,2,FALSE)</f>
        <v>Payroll &amp; Benefits</v>
      </c>
      <c r="B45" s="16" t="s">
        <v>346</v>
      </c>
      <c r="C45" s="85">
        <v>0</v>
      </c>
      <c r="D45" s="85">
        <v>0</v>
      </c>
      <c r="E45" s="85">
        <v>0</v>
      </c>
      <c r="F45" s="86" t="s">
        <v>137</v>
      </c>
    </row>
    <row r="46" spans="1:8" x14ac:dyDescent="0.35">
      <c r="A46" t="str">
        <f>VLOOKUP(B46,Key!A:B,2,FALSE)</f>
        <v>Payroll &amp; Benefits</v>
      </c>
      <c r="B46" s="16" t="s">
        <v>347</v>
      </c>
      <c r="C46" s="85">
        <v>156100.69</v>
      </c>
      <c r="D46" s="85">
        <v>157500</v>
      </c>
      <c r="E46" s="85">
        <v>-1399.3099999999977</v>
      </c>
      <c r="F46" s="86">
        <v>0.99111549206349203</v>
      </c>
    </row>
    <row r="47" spans="1:8" x14ac:dyDescent="0.35">
      <c r="A47" t="str">
        <f>VLOOKUP(B47,Key!A:B,2,FALSE)</f>
        <v>Payroll &amp; Benefits</v>
      </c>
      <c r="B47" s="16" t="s">
        <v>348</v>
      </c>
      <c r="C47" s="85">
        <v>12509.37</v>
      </c>
      <c r="D47" s="85">
        <v>12740.85</v>
      </c>
      <c r="E47" s="85">
        <v>-231.47999999999956</v>
      </c>
      <c r="F47" s="86">
        <v>0.98183166743192174</v>
      </c>
    </row>
    <row r="48" spans="1:8" x14ac:dyDescent="0.35">
      <c r="A48" t="str">
        <f>VLOOKUP(B48,Key!A:B,2,FALSE)</f>
        <v>Payroll &amp; Benefits</v>
      </c>
      <c r="B48" s="16" t="s">
        <v>349</v>
      </c>
      <c r="C48" s="85">
        <v>14766.27</v>
      </c>
      <c r="D48" s="85">
        <v>15067.1</v>
      </c>
      <c r="E48" s="85">
        <v>-300.82999999999993</v>
      </c>
      <c r="F48" s="86">
        <v>0.98003398132354602</v>
      </c>
    </row>
    <row r="49" spans="1:7" x14ac:dyDescent="0.35">
      <c r="A49" t="str">
        <f>VLOOKUP(B49,Key!A:B,2,FALSE)</f>
        <v>Payroll &amp; Benefits</v>
      </c>
      <c r="B49" s="16" t="s">
        <v>350</v>
      </c>
      <c r="C49" s="85">
        <v>4759.1499999999996</v>
      </c>
      <c r="D49" s="85">
        <v>4725</v>
      </c>
      <c r="E49" s="85">
        <v>34.149999999999636</v>
      </c>
      <c r="F49" s="86">
        <v>1.0072275132275132</v>
      </c>
    </row>
    <row r="50" spans="1:7" x14ac:dyDescent="0.35">
      <c r="A50" t="str">
        <f>VLOOKUP(B50,Key!A:B,2,FALSE)</f>
        <v>Payroll &amp; Benefits</v>
      </c>
      <c r="B50" s="16" t="s">
        <v>351</v>
      </c>
      <c r="C50" s="85">
        <v>1994.6</v>
      </c>
      <c r="D50" s="85">
        <v>641.65</v>
      </c>
      <c r="E50" s="85">
        <v>1352.9499999999998</v>
      </c>
      <c r="F50" s="86">
        <v>3.1085482739811425</v>
      </c>
    </row>
    <row r="51" spans="1:7" x14ac:dyDescent="0.35">
      <c r="A51" t="e">
        <f>VLOOKUP(B51,Key!A:B,2,FALSE)</f>
        <v>#N/A</v>
      </c>
      <c r="B51" s="16" t="s">
        <v>352</v>
      </c>
      <c r="C51" s="87">
        <v>190130.08</v>
      </c>
      <c r="D51" s="87">
        <v>190674.6</v>
      </c>
      <c r="E51" s="87">
        <v>-544.52000000001863</v>
      </c>
      <c r="F51" s="88">
        <v>0.99714424469751073</v>
      </c>
    </row>
    <row r="52" spans="1:7" x14ac:dyDescent="0.35">
      <c r="A52" t="str">
        <f>VLOOKUP(B52,Key!A:B,2,FALSE)</f>
        <v>Professional Services</v>
      </c>
      <c r="B52" s="16" t="s">
        <v>353</v>
      </c>
      <c r="C52" s="85">
        <v>0</v>
      </c>
      <c r="D52" s="85">
        <v>0</v>
      </c>
      <c r="E52" s="85">
        <v>0</v>
      </c>
      <c r="F52" s="86" t="s">
        <v>137</v>
      </c>
    </row>
    <row r="53" spans="1:7" x14ac:dyDescent="0.35">
      <c r="A53" t="str">
        <f>VLOOKUP(B53,Key!A:B,2,FALSE)</f>
        <v>Professional Services</v>
      </c>
      <c r="B53" s="16" t="s">
        <v>453</v>
      </c>
      <c r="C53" s="85">
        <v>175</v>
      </c>
      <c r="D53" s="85">
        <v>125</v>
      </c>
      <c r="E53" s="85">
        <v>50</v>
      </c>
      <c r="F53" s="86">
        <v>1.4</v>
      </c>
    </row>
    <row r="54" spans="1:7" x14ac:dyDescent="0.35">
      <c r="A54" t="str">
        <f>VLOOKUP(B54,Key!A:B,2,FALSE)</f>
        <v>Professional Services</v>
      </c>
      <c r="B54" s="16" t="s">
        <v>354</v>
      </c>
      <c r="C54" s="85">
        <v>33300</v>
      </c>
      <c r="D54" s="85">
        <v>33300</v>
      </c>
      <c r="E54" s="85">
        <v>0</v>
      </c>
      <c r="F54" s="86">
        <v>1</v>
      </c>
    </row>
    <row r="55" spans="1:7" x14ac:dyDescent="0.35">
      <c r="A55" t="str">
        <f>VLOOKUP(B55,Key!A:B,2,FALSE)</f>
        <v>Professional Services</v>
      </c>
      <c r="B55" s="16" t="s">
        <v>355</v>
      </c>
      <c r="C55" s="85">
        <v>0</v>
      </c>
      <c r="D55" s="85">
        <v>208.35</v>
      </c>
      <c r="E55" s="85">
        <v>-208.35</v>
      </c>
      <c r="F55" s="86">
        <v>0</v>
      </c>
    </row>
    <row r="56" spans="1:7" x14ac:dyDescent="0.35">
      <c r="A56" t="str">
        <f>VLOOKUP(B56,Key!A:B,2,FALSE)</f>
        <v>Professional Services</v>
      </c>
      <c r="B56" s="16" t="s">
        <v>356</v>
      </c>
      <c r="C56" s="85">
        <v>34589.129999999997</v>
      </c>
      <c r="D56" s="85">
        <v>15416.65</v>
      </c>
      <c r="E56" s="85">
        <v>19172.479999999996</v>
      </c>
      <c r="F56" s="86">
        <v>2.2436216687801824</v>
      </c>
    </row>
    <row r="57" spans="1:7" x14ac:dyDescent="0.35">
      <c r="A57" t="str">
        <f>VLOOKUP(B57,Key!A:B,2,FALSE)</f>
        <v>Professional Services</v>
      </c>
      <c r="B57" s="16" t="s">
        <v>357</v>
      </c>
      <c r="C57" s="85">
        <v>170</v>
      </c>
      <c r="D57" s="85">
        <v>425</v>
      </c>
      <c r="E57" s="85">
        <v>-255</v>
      </c>
      <c r="F57" s="86">
        <v>0.4</v>
      </c>
    </row>
    <row r="58" spans="1:7" x14ac:dyDescent="0.35">
      <c r="A58" t="e">
        <f>VLOOKUP(B58,Key!A:B,2,FALSE)</f>
        <v>#N/A</v>
      </c>
      <c r="B58" s="16" t="s">
        <v>358</v>
      </c>
      <c r="C58" s="87">
        <v>68234.13</v>
      </c>
      <c r="D58" s="87">
        <v>49475</v>
      </c>
      <c r="E58" s="87">
        <v>18759.130000000005</v>
      </c>
      <c r="F58" s="88">
        <v>1.3791638201111673</v>
      </c>
    </row>
    <row r="59" spans="1:7" x14ac:dyDescent="0.35">
      <c r="A59" t="str">
        <f>VLOOKUP(B59,Key!A:B,2,FALSE)</f>
        <v>Other Operating Expenses</v>
      </c>
      <c r="B59" s="16" t="s">
        <v>359</v>
      </c>
      <c r="C59" s="85">
        <v>0</v>
      </c>
      <c r="D59" s="85">
        <v>0</v>
      </c>
      <c r="E59" s="85">
        <v>0</v>
      </c>
      <c r="F59" s="86" t="s">
        <v>137</v>
      </c>
    </row>
    <row r="60" spans="1:7" x14ac:dyDescent="0.35">
      <c r="A60" t="str">
        <f>VLOOKUP(B60,Key!A:B,2,FALSE)</f>
        <v>Other Operating Expenses</v>
      </c>
      <c r="B60" s="16" t="s">
        <v>360</v>
      </c>
      <c r="C60" s="85">
        <v>191.17</v>
      </c>
      <c r="D60" s="85">
        <v>200</v>
      </c>
      <c r="E60" s="85">
        <v>-8.8300000000000125</v>
      </c>
      <c r="F60" s="86">
        <v>0.95584999999999998</v>
      </c>
    </row>
    <row r="61" spans="1:7" x14ac:dyDescent="0.35">
      <c r="A61" t="str">
        <f>VLOOKUP(B61,Key!A:B,2,FALSE)</f>
        <v>Other Operating Expenses</v>
      </c>
      <c r="B61" s="16" t="s">
        <v>361</v>
      </c>
      <c r="C61" s="85">
        <v>797.82</v>
      </c>
      <c r="D61" s="85">
        <v>1125</v>
      </c>
      <c r="E61" s="85">
        <v>-327.17999999999995</v>
      </c>
      <c r="F61" s="86">
        <v>0.70917333333333343</v>
      </c>
    </row>
    <row r="62" spans="1:7" x14ac:dyDescent="0.35">
      <c r="A62" t="str">
        <f>VLOOKUP(B62,Key!A:B,2,FALSE)</f>
        <v>Other Operating Expenses</v>
      </c>
      <c r="B62" s="16" t="s">
        <v>362</v>
      </c>
      <c r="C62" s="85">
        <v>0</v>
      </c>
      <c r="D62" s="85">
        <v>125</v>
      </c>
      <c r="E62" s="85">
        <v>-125</v>
      </c>
      <c r="F62" s="86">
        <v>0</v>
      </c>
    </row>
    <row r="63" spans="1:7" x14ac:dyDescent="0.35">
      <c r="A63" t="e">
        <f>VLOOKUP(B63,Key!A:B,2,FALSE)</f>
        <v>#N/A</v>
      </c>
      <c r="B63" s="16" t="s">
        <v>363</v>
      </c>
      <c r="C63" s="87">
        <v>988.99</v>
      </c>
      <c r="D63" s="87">
        <v>1450</v>
      </c>
      <c r="E63" s="87">
        <v>-461.01</v>
      </c>
      <c r="F63" s="88">
        <v>0.68206206896551724</v>
      </c>
    </row>
    <row r="64" spans="1:7" x14ac:dyDescent="0.35">
      <c r="A64" t="str">
        <f>VLOOKUP(B64,Key!A:B,2,FALSE)</f>
        <v>Other Operating Expenses</v>
      </c>
      <c r="B64" s="16" t="s">
        <v>364</v>
      </c>
      <c r="C64" s="85">
        <v>0</v>
      </c>
      <c r="D64" s="85">
        <v>0</v>
      </c>
      <c r="E64" s="85">
        <v>0</v>
      </c>
      <c r="F64" s="86" t="s">
        <v>137</v>
      </c>
      <c r="G64" s="62"/>
    </row>
    <row r="65" spans="1:7" x14ac:dyDescent="0.35">
      <c r="A65" t="str">
        <f>VLOOKUP(B65,Key!A:B,2,FALSE)</f>
        <v>Other Operating Expenses</v>
      </c>
      <c r="B65" s="16" t="s">
        <v>365</v>
      </c>
      <c r="C65" s="85">
        <v>0</v>
      </c>
      <c r="D65" s="85">
        <v>0</v>
      </c>
      <c r="E65" s="85">
        <v>0</v>
      </c>
      <c r="F65" s="86" t="s">
        <v>137</v>
      </c>
    </row>
    <row r="66" spans="1:7" x14ac:dyDescent="0.35">
      <c r="A66" t="str">
        <f>VLOOKUP(B66,Key!A:B,2,FALSE)</f>
        <v>Other Operating Expenses</v>
      </c>
      <c r="B66" s="16" t="s">
        <v>366</v>
      </c>
      <c r="C66" s="85">
        <v>4051.97</v>
      </c>
      <c r="D66" s="85">
        <v>4093.35</v>
      </c>
      <c r="E66" s="85">
        <v>-41.380000000000109</v>
      </c>
      <c r="F66" s="86">
        <v>0.98989092063957396</v>
      </c>
    </row>
    <row r="67" spans="1:7" x14ac:dyDescent="0.35">
      <c r="A67" t="str">
        <f>VLOOKUP(B67,Key!A:B,2,FALSE)</f>
        <v>Other Operating Expenses</v>
      </c>
      <c r="B67" s="16" t="s">
        <v>367</v>
      </c>
      <c r="C67" s="85">
        <v>1563.02</v>
      </c>
      <c r="D67" s="85">
        <v>1334.6</v>
      </c>
      <c r="E67" s="85">
        <v>228.42000000000007</v>
      </c>
      <c r="F67" s="86">
        <v>1.1711524052150457</v>
      </c>
    </row>
    <row r="68" spans="1:7" x14ac:dyDescent="0.35">
      <c r="A68" t="str">
        <f>VLOOKUP(B68,Key!A:B,2,FALSE)</f>
        <v>Other Operating Expenses</v>
      </c>
      <c r="B68" s="16" t="s">
        <v>368</v>
      </c>
      <c r="C68" s="85">
        <v>937</v>
      </c>
      <c r="D68" s="85">
        <v>625</v>
      </c>
      <c r="E68" s="85">
        <v>312</v>
      </c>
      <c r="F68" s="86">
        <v>1.4992000000000001</v>
      </c>
    </row>
    <row r="69" spans="1:7" x14ac:dyDescent="0.35">
      <c r="A69" t="str">
        <f>VLOOKUP(B69,Key!A:B,2,FALSE)</f>
        <v>Other Operating Expenses</v>
      </c>
      <c r="B69" s="16" t="s">
        <v>369</v>
      </c>
      <c r="C69" s="85">
        <v>1395</v>
      </c>
      <c r="D69" s="85">
        <v>1400</v>
      </c>
      <c r="E69" s="85">
        <v>-5</v>
      </c>
      <c r="F69" s="86">
        <v>0.99642857142857144</v>
      </c>
    </row>
    <row r="70" spans="1:7" x14ac:dyDescent="0.35">
      <c r="A70" t="str">
        <f>VLOOKUP(B70,Key!A:B,2,FALSE)</f>
        <v>Other Operating Expenses</v>
      </c>
      <c r="B70" s="16" t="s">
        <v>370</v>
      </c>
      <c r="C70" s="85">
        <v>0</v>
      </c>
      <c r="D70" s="85">
        <v>250</v>
      </c>
      <c r="E70" s="85">
        <v>-250</v>
      </c>
      <c r="F70" s="86">
        <v>0</v>
      </c>
    </row>
    <row r="71" spans="1:7" x14ac:dyDescent="0.35">
      <c r="A71" t="str">
        <f>VLOOKUP(B71,Key!A:B,2,FALSE)</f>
        <v>Other Operating Expenses</v>
      </c>
      <c r="B71" s="16" t="s">
        <v>371</v>
      </c>
      <c r="C71" s="85">
        <v>1433.7</v>
      </c>
      <c r="D71" s="85">
        <v>833.35</v>
      </c>
      <c r="E71" s="85">
        <v>600.35</v>
      </c>
      <c r="F71" s="86">
        <v>1.7204055918881622</v>
      </c>
      <c r="G71" s="35"/>
    </row>
    <row r="72" spans="1:7" x14ac:dyDescent="0.35">
      <c r="A72" t="str">
        <f>VLOOKUP(B72,Key!A:B,2,FALSE)</f>
        <v>Other Operating Expenses</v>
      </c>
      <c r="B72" s="16" t="s">
        <v>372</v>
      </c>
      <c r="C72" s="85">
        <v>227.05</v>
      </c>
      <c r="D72" s="85">
        <v>724.95</v>
      </c>
      <c r="E72" s="85">
        <v>-497.90000000000003</v>
      </c>
      <c r="F72" s="86">
        <v>0.31319401338023312</v>
      </c>
    </row>
    <row r="73" spans="1:7" x14ac:dyDescent="0.35">
      <c r="A73" t="str">
        <f>VLOOKUP(B73,Key!A:B,2,FALSE)</f>
        <v>Other Operating Expenses</v>
      </c>
      <c r="B73" s="16" t="s">
        <v>373</v>
      </c>
      <c r="C73" s="85">
        <v>0</v>
      </c>
      <c r="D73" s="85">
        <v>0</v>
      </c>
      <c r="E73" s="85">
        <v>0</v>
      </c>
      <c r="F73" s="86" t="s">
        <v>137</v>
      </c>
    </row>
    <row r="74" spans="1:7" x14ac:dyDescent="0.35">
      <c r="A74" t="str">
        <f>VLOOKUP(B74,Key!A:B,2,FALSE)</f>
        <v>Other Operating Expenses</v>
      </c>
      <c r="B74" s="16" t="s">
        <v>374</v>
      </c>
      <c r="C74" s="85">
        <v>6724</v>
      </c>
      <c r="D74" s="85">
        <v>6724</v>
      </c>
      <c r="E74" s="85">
        <v>0</v>
      </c>
      <c r="F74" s="86">
        <v>1</v>
      </c>
    </row>
    <row r="75" spans="1:7" x14ac:dyDescent="0.35">
      <c r="A75" t="str">
        <f>VLOOKUP(B75,Key!A:B,2,FALSE)</f>
        <v>Other Operating Expenses</v>
      </c>
      <c r="B75" s="16" t="s">
        <v>375</v>
      </c>
      <c r="C75" s="85">
        <v>593.71</v>
      </c>
      <c r="D75" s="85">
        <v>422.9</v>
      </c>
      <c r="E75" s="85">
        <v>170.81000000000006</v>
      </c>
      <c r="F75" s="86">
        <v>1.403901631591393</v>
      </c>
    </row>
    <row r="76" spans="1:7" x14ac:dyDescent="0.35">
      <c r="A76" t="str">
        <f>VLOOKUP(B76,Key!A:B,2,FALSE)</f>
        <v>Other Operating Expenses</v>
      </c>
      <c r="B76" s="16" t="s">
        <v>376</v>
      </c>
      <c r="C76" s="85">
        <v>426.64</v>
      </c>
      <c r="D76" s="85">
        <v>1743.29</v>
      </c>
      <c r="E76" s="85">
        <v>-1316.65</v>
      </c>
      <c r="F76" s="86">
        <v>0.24473266065886914</v>
      </c>
    </row>
    <row r="77" spans="1:7" x14ac:dyDescent="0.35">
      <c r="A77" t="str">
        <f>VLOOKUP(B77,Key!A:B,2,FALSE)</f>
        <v>Other Operating Expenses</v>
      </c>
      <c r="B77" s="16" t="s">
        <v>377</v>
      </c>
      <c r="C77" s="85">
        <v>35.159999999999997</v>
      </c>
      <c r="D77" s="85">
        <v>310</v>
      </c>
      <c r="E77" s="85">
        <v>-274.84000000000003</v>
      </c>
      <c r="F77" s="86">
        <v>0.11341935483870967</v>
      </c>
    </row>
    <row r="78" spans="1:7" x14ac:dyDescent="0.35">
      <c r="A78" t="str">
        <f>VLOOKUP(B78,Key!A:B,2,FALSE)</f>
        <v>Other Operating Expenses</v>
      </c>
      <c r="B78" s="16" t="s">
        <v>378</v>
      </c>
      <c r="C78" s="85">
        <v>0</v>
      </c>
      <c r="D78" s="85">
        <v>275</v>
      </c>
      <c r="E78" s="85">
        <v>-275</v>
      </c>
      <c r="F78" s="86">
        <v>0</v>
      </c>
    </row>
    <row r="79" spans="1:7" x14ac:dyDescent="0.35">
      <c r="A79" t="str">
        <f>VLOOKUP(B79,Key!A:B,2,FALSE)</f>
        <v>Other Operating Expenses</v>
      </c>
      <c r="B79" s="16" t="s">
        <v>379</v>
      </c>
      <c r="C79" s="85">
        <v>5134.6000000000004</v>
      </c>
      <c r="D79" s="85">
        <v>5333.3</v>
      </c>
      <c r="E79" s="85">
        <v>-198.69999999999982</v>
      </c>
      <c r="F79" s="86">
        <v>0.96274351714698225</v>
      </c>
    </row>
    <row r="80" spans="1:7" x14ac:dyDescent="0.35">
      <c r="A80" t="e">
        <f>VLOOKUP(B80,Key!A:B,2,FALSE)</f>
        <v>#N/A</v>
      </c>
      <c r="B80" s="16" t="s">
        <v>380</v>
      </c>
      <c r="C80" s="87">
        <v>22521.85</v>
      </c>
      <c r="D80" s="87">
        <v>24069.739999999998</v>
      </c>
      <c r="E80" s="87">
        <v>-1547.8899999999994</v>
      </c>
      <c r="F80" s="88">
        <v>0.93569145325209169</v>
      </c>
    </row>
    <row r="81" spans="1:6" x14ac:dyDescent="0.35">
      <c r="A81" t="e">
        <f>VLOOKUP(B81,Key!A:B,2,FALSE)</f>
        <v>#N/A</v>
      </c>
      <c r="B81" s="16" t="s">
        <v>176</v>
      </c>
      <c r="C81" s="87">
        <v>296363.32</v>
      </c>
      <c r="D81" s="87">
        <v>278514.34000000003</v>
      </c>
      <c r="E81" s="87">
        <v>17848.979999999981</v>
      </c>
      <c r="F81" s="88">
        <v>1.0640863949770054</v>
      </c>
    </row>
    <row r="82" spans="1:6" x14ac:dyDescent="0.35">
      <c r="A82" t="e">
        <f>VLOOKUP(B82,Key!A:B,2,FALSE)</f>
        <v>#N/A</v>
      </c>
      <c r="B82" s="16" t="s">
        <v>177</v>
      </c>
      <c r="C82" s="87">
        <v>-50620.28</v>
      </c>
      <c r="D82" s="87">
        <v>-46970.690000000031</v>
      </c>
      <c r="E82" s="87">
        <v>-3649.5899999999674</v>
      </c>
      <c r="F82" s="88">
        <v>1.0776993056733883</v>
      </c>
    </row>
    <row r="83" spans="1:6" x14ac:dyDescent="0.35">
      <c r="A83" t="e">
        <f>VLOOKUP(B83,Key!A:B,2,FALSE)</f>
        <v>#N/A</v>
      </c>
      <c r="B83" s="16" t="s">
        <v>178</v>
      </c>
      <c r="C83" s="84"/>
      <c r="D83" s="84"/>
      <c r="E83" s="84"/>
      <c r="F83" s="84"/>
    </row>
    <row r="84" spans="1:6" x14ac:dyDescent="0.35">
      <c r="A84" t="str">
        <f>VLOOKUP(B84,Key!A:B,2,FALSE)</f>
        <v>Investment Income (Loss)</v>
      </c>
      <c r="B84" s="16" t="s">
        <v>381</v>
      </c>
      <c r="C84" s="85">
        <v>0</v>
      </c>
      <c r="D84" s="85">
        <v>0</v>
      </c>
      <c r="E84" s="85">
        <v>0</v>
      </c>
      <c r="F84" s="86" t="s">
        <v>137</v>
      </c>
    </row>
    <row r="85" spans="1:6" x14ac:dyDescent="0.35">
      <c r="A85" t="str">
        <f>VLOOKUP(B85,Key!A:B,2,FALSE)</f>
        <v>Interest Income</v>
      </c>
      <c r="B85" s="16" t="s">
        <v>382</v>
      </c>
      <c r="C85" s="85">
        <v>4555.88</v>
      </c>
      <c r="D85" s="85">
        <v>0</v>
      </c>
      <c r="E85" s="85">
        <v>4555.88</v>
      </c>
      <c r="F85" s="86" t="s">
        <v>137</v>
      </c>
    </row>
    <row r="86" spans="1:6" x14ac:dyDescent="0.35">
      <c r="A86" t="str">
        <f>VLOOKUP(B86,Key!A:B,2,FALSE)</f>
        <v>Investment Income (Loss)</v>
      </c>
      <c r="B86" s="16" t="s">
        <v>383</v>
      </c>
      <c r="C86" s="85">
        <v>30935.73</v>
      </c>
      <c r="D86" s="85">
        <v>0</v>
      </c>
      <c r="E86" s="85">
        <v>30935.73</v>
      </c>
      <c r="F86" s="86" t="s">
        <v>137</v>
      </c>
    </row>
    <row r="87" spans="1:6" x14ac:dyDescent="0.35">
      <c r="A87" t="str">
        <f>VLOOKUP(B87,Key!A:B,2,FALSE)</f>
        <v>Investment Income (Loss)</v>
      </c>
      <c r="B87" s="16" t="s">
        <v>384</v>
      </c>
      <c r="C87" s="85">
        <v>0</v>
      </c>
      <c r="D87" s="85">
        <v>9375</v>
      </c>
      <c r="E87" s="85">
        <v>-9375</v>
      </c>
      <c r="F87" s="86">
        <v>0</v>
      </c>
    </row>
    <row r="88" spans="1:6" x14ac:dyDescent="0.35">
      <c r="A88" t="e">
        <f>VLOOKUP(B88,Key!A:B,2,FALSE)</f>
        <v>#N/A</v>
      </c>
      <c r="B88" s="16" t="s">
        <v>180</v>
      </c>
      <c r="C88" s="87">
        <v>35491.61</v>
      </c>
      <c r="D88" s="87">
        <v>9375</v>
      </c>
      <c r="E88" s="87">
        <v>26116.61</v>
      </c>
      <c r="F88" s="88">
        <v>3.7857717333333336</v>
      </c>
    </row>
    <row r="89" spans="1:6" x14ac:dyDescent="0.35">
      <c r="A89" t="e">
        <f>VLOOKUP(B89,Key!A:B,2,FALSE)</f>
        <v>#N/A</v>
      </c>
      <c r="B89" s="16" t="s">
        <v>181</v>
      </c>
      <c r="C89" s="84"/>
      <c r="D89" s="84"/>
      <c r="E89" s="84"/>
      <c r="F89" s="84"/>
    </row>
    <row r="90" spans="1:6" x14ac:dyDescent="0.35">
      <c r="A90" t="str">
        <f>VLOOKUP(B90,Key!A:B,2,FALSE)</f>
        <v>Interest Expense</v>
      </c>
      <c r="B90" s="16" t="s">
        <v>385</v>
      </c>
      <c r="C90" s="85">
        <v>2060.27</v>
      </c>
      <c r="D90" s="85">
        <v>0</v>
      </c>
      <c r="E90" s="85">
        <v>2060.27</v>
      </c>
      <c r="F90" s="86" t="s">
        <v>137</v>
      </c>
    </row>
    <row r="91" spans="1:6" x14ac:dyDescent="0.35">
      <c r="A91">
        <f>VLOOKUP(B91,Key!A:B,2,FALSE)</f>
        <v>0</v>
      </c>
      <c r="B91" s="16" t="s">
        <v>386</v>
      </c>
      <c r="C91" s="85">
        <v>0</v>
      </c>
      <c r="D91" s="85">
        <v>0</v>
      </c>
      <c r="E91" s="85">
        <v>0</v>
      </c>
      <c r="F91" s="86" t="s">
        <v>137</v>
      </c>
    </row>
    <row r="92" spans="1:6" x14ac:dyDescent="0.35">
      <c r="A92" t="e">
        <f>VLOOKUP(B92,Key!A:B,2,FALSE)</f>
        <v>#N/A</v>
      </c>
      <c r="B92" s="16" t="s">
        <v>182</v>
      </c>
      <c r="C92" s="87">
        <v>2060.27</v>
      </c>
      <c r="D92" s="87">
        <v>0</v>
      </c>
      <c r="E92" s="87">
        <v>2060.27</v>
      </c>
      <c r="F92" s="88" t="s">
        <v>137</v>
      </c>
    </row>
    <row r="93" spans="1:6" x14ac:dyDescent="0.35">
      <c r="A93" t="e">
        <f>VLOOKUP(B93,Key!A:B,2,FALSE)</f>
        <v>#N/A</v>
      </c>
      <c r="B93" s="16" t="s">
        <v>183</v>
      </c>
      <c r="C93" s="87">
        <v>33431.340000000004</v>
      </c>
      <c r="D93" s="87">
        <v>9375</v>
      </c>
      <c r="E93" s="87">
        <v>24056.340000000004</v>
      </c>
      <c r="F93" s="88">
        <v>3.5660096000000006</v>
      </c>
    </row>
    <row r="94" spans="1:6" x14ac:dyDescent="0.35">
      <c r="A94" t="e">
        <f>VLOOKUP(B94,Key!A:B,2,FALSE)</f>
        <v>#N/A</v>
      </c>
      <c r="B94" s="16" t="s">
        <v>184</v>
      </c>
      <c r="C94" s="87">
        <v>-17188.940000000002</v>
      </c>
      <c r="D94" s="87">
        <v>-37595.690000000031</v>
      </c>
      <c r="E94" s="87">
        <v>20406.750000000029</v>
      </c>
      <c r="F94" s="88">
        <v>0.45720506792134918</v>
      </c>
    </row>
    <row r="95" spans="1:6" x14ac:dyDescent="0.35">
      <c r="A95" t="e">
        <f>VLOOKUP(B95,Key!A:B,2,FALSE)</f>
        <v>#N/A</v>
      </c>
    </row>
    <row r="96" spans="1:6" x14ac:dyDescent="0.35">
      <c r="A96" t="e">
        <f>VLOOKUP(B96,Key!A:B,2,FALSE)</f>
        <v>#N/A</v>
      </c>
    </row>
    <row r="97" spans="1:1" x14ac:dyDescent="0.35">
      <c r="A97" t="e">
        <f>VLOOKUP(B97,Key!A:B,2,FALSE)</f>
        <v>#N/A</v>
      </c>
    </row>
    <row r="98" spans="1:1" x14ac:dyDescent="0.35">
      <c r="A98" t="e">
        <f>VLOOKUP(B98,Key!A:B,2,FALSE)</f>
        <v>#N/A</v>
      </c>
    </row>
    <row r="99" spans="1:1" x14ac:dyDescent="0.35">
      <c r="A99" t="e">
        <f>VLOOKUP(B99,Key!A:B,2,FALSE)</f>
        <v>#N/A</v>
      </c>
    </row>
    <row r="100" spans="1:1" x14ac:dyDescent="0.35">
      <c r="A100" t="e">
        <f>VLOOKUP(B100,Key!A:B,2,FALSE)</f>
        <v>#N/A</v>
      </c>
    </row>
  </sheetData>
  <mergeCells count="4">
    <mergeCell ref="C5:F5"/>
    <mergeCell ref="B1:F1"/>
    <mergeCell ref="B2:F2"/>
    <mergeCell ref="B3:F3"/>
  </mergeCells>
  <conditionalFormatting sqref="E1:E2 E4:E31 E33:E1048576">
    <cfRule type="cellIs" dxfId="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FF2E-5F18-4104-A132-F50282E81BC9}">
  <sheetPr>
    <tabColor theme="9" tint="0.79998168889431442"/>
  </sheetPr>
  <dimension ref="A1:J100"/>
  <sheetViews>
    <sheetView topLeftCell="B1" workbookViewId="0">
      <selection activeCell="B1" sqref="B1:D93"/>
    </sheetView>
  </sheetViews>
  <sheetFormatPr defaultRowHeight="14.5" outlineLevelCol="1" x14ac:dyDescent="0.35"/>
  <cols>
    <col min="1" max="1" width="19.26953125" hidden="1" customWidth="1" outlineLevel="1"/>
    <col min="2" max="2" width="47.26953125" customWidth="1" collapsed="1"/>
    <col min="3" max="3" width="16.81640625" style="3" customWidth="1"/>
    <col min="4" max="4" width="16.81640625" customWidth="1"/>
    <col min="5" max="5" width="41.7265625" bestFit="1" customWidth="1"/>
  </cols>
  <sheetData>
    <row r="1" spans="1:10" ht="18" x14ac:dyDescent="0.4">
      <c r="B1" s="119" t="s">
        <v>172</v>
      </c>
      <c r="C1" s="115"/>
      <c r="D1" s="115"/>
    </row>
    <row r="2" spans="1:10" ht="18" x14ac:dyDescent="0.4">
      <c r="B2" s="119" t="s">
        <v>192</v>
      </c>
      <c r="C2" s="115"/>
      <c r="D2" s="115"/>
    </row>
    <row r="3" spans="1:10" x14ac:dyDescent="0.35">
      <c r="B3" s="120" t="s">
        <v>463</v>
      </c>
      <c r="C3" s="115"/>
      <c r="D3" s="115"/>
    </row>
    <row r="4" spans="1:10" x14ac:dyDescent="0.35">
      <c r="C4"/>
    </row>
    <row r="5" spans="1:10" x14ac:dyDescent="0.35">
      <c r="B5" s="1"/>
      <c r="C5" s="121" t="s">
        <v>14</v>
      </c>
      <c r="D5" s="113"/>
    </row>
    <row r="6" spans="1:10" ht="24" x14ac:dyDescent="0.35">
      <c r="B6" s="1"/>
      <c r="C6" s="91" t="s">
        <v>463</v>
      </c>
      <c r="D6" s="91" t="s">
        <v>464</v>
      </c>
      <c r="E6" s="33" t="s">
        <v>147</v>
      </c>
    </row>
    <row r="7" spans="1:10" x14ac:dyDescent="0.35">
      <c r="A7" t="e">
        <f>VLOOKUP(B7,Key!A:B,2,FALSE)</f>
        <v>#N/A</v>
      </c>
      <c r="B7" s="92" t="s">
        <v>25</v>
      </c>
      <c r="C7" s="93"/>
      <c r="D7" s="93"/>
    </row>
    <row r="8" spans="1:10" x14ac:dyDescent="0.35">
      <c r="A8" t="e">
        <f>VLOOKUP(B8,Key!A:B,2,FALSE)</f>
        <v>#N/A</v>
      </c>
      <c r="B8" s="92" t="s">
        <v>26</v>
      </c>
      <c r="C8" s="93"/>
      <c r="D8" s="93"/>
    </row>
    <row r="9" spans="1:10" x14ac:dyDescent="0.35">
      <c r="A9" t="e">
        <f>VLOOKUP(B9,Key!A:B,2,FALSE)</f>
        <v>#N/A</v>
      </c>
      <c r="B9" s="92" t="s">
        <v>27</v>
      </c>
      <c r="C9" s="93"/>
      <c r="D9" s="93"/>
    </row>
    <row r="10" spans="1:10" x14ac:dyDescent="0.35">
      <c r="A10" t="str">
        <f>VLOOKUP(B10,Key!A:B,2,FALSE)</f>
        <v>Cash and Equivalents</v>
      </c>
      <c r="B10" s="92" t="s">
        <v>387</v>
      </c>
      <c r="C10" s="94">
        <f>0</f>
        <v>0</v>
      </c>
      <c r="D10" s="94">
        <f>0</f>
        <v>0</v>
      </c>
    </row>
    <row r="11" spans="1:10" x14ac:dyDescent="0.35">
      <c r="A11" t="str">
        <f>VLOOKUP(B11,Key!A:B,2,FALSE)</f>
        <v>Cash and Equivalents</v>
      </c>
      <c r="B11" s="92" t="s">
        <v>388</v>
      </c>
      <c r="C11" s="94">
        <f>19474.28</f>
        <v>19474.28</v>
      </c>
      <c r="D11" s="94">
        <f>15293.26</f>
        <v>15293.26</v>
      </c>
    </row>
    <row r="12" spans="1:10" x14ac:dyDescent="0.35">
      <c r="A12" t="str">
        <f>VLOOKUP(B12,Key!A:B,2,FALSE)</f>
        <v>Cash and Equivalents</v>
      </c>
      <c r="B12" s="92" t="s">
        <v>389</v>
      </c>
      <c r="C12" s="94">
        <f>176248.45</f>
        <v>176248.45</v>
      </c>
      <c r="D12" s="94">
        <f>190100.06</f>
        <v>190100.06</v>
      </c>
    </row>
    <row r="13" spans="1:10" x14ac:dyDescent="0.35">
      <c r="A13" t="e">
        <f>VLOOKUP(B13,Key!A:B,2,FALSE)</f>
        <v>#N/A</v>
      </c>
      <c r="B13" s="92" t="s">
        <v>28</v>
      </c>
      <c r="C13" s="96">
        <f>((C10)+(C11))+(C12)</f>
        <v>195722.73</v>
      </c>
      <c r="D13" s="96">
        <f>((D10)+(D11))+(D12)</f>
        <v>205393.32</v>
      </c>
    </row>
    <row r="14" spans="1:10" x14ac:dyDescent="0.35">
      <c r="A14" t="e">
        <f>VLOOKUP(B14,Key!A:B,2,FALSE)</f>
        <v>#N/A</v>
      </c>
      <c r="B14" s="92" t="s">
        <v>193</v>
      </c>
      <c r="C14" s="93"/>
      <c r="D14" s="93"/>
    </row>
    <row r="15" spans="1:10" x14ac:dyDescent="0.35">
      <c r="A15" t="str">
        <f>VLOOKUP(B15,Key!A:B,2,FALSE)</f>
        <v>Accounts Receivable</v>
      </c>
      <c r="B15" s="92" t="s">
        <v>391</v>
      </c>
      <c r="C15" s="94">
        <f>0</f>
        <v>0</v>
      </c>
      <c r="D15" s="94">
        <f>0</f>
        <v>0</v>
      </c>
      <c r="J15" s="21"/>
    </row>
    <row r="16" spans="1:10" x14ac:dyDescent="0.35">
      <c r="A16" t="str">
        <f>VLOOKUP(B16,Key!A:B,2,FALSE)</f>
        <v>Accounts Receivable</v>
      </c>
      <c r="B16" s="92" t="s">
        <v>392</v>
      </c>
      <c r="C16" s="94">
        <f>-10000</f>
        <v>-10000</v>
      </c>
      <c r="D16" s="94">
        <f>-10000</f>
        <v>-10000</v>
      </c>
      <c r="J16" s="21"/>
    </row>
    <row r="17" spans="1:10" x14ac:dyDescent="0.35">
      <c r="A17" t="str">
        <f>VLOOKUP(B17,Key!A:B,2,FALSE)</f>
        <v>Accounts Receivable</v>
      </c>
      <c r="B17" s="92" t="s">
        <v>393</v>
      </c>
      <c r="C17" s="94">
        <f>8333.59</f>
        <v>8333.59</v>
      </c>
      <c r="D17" s="94">
        <f>4576.85</f>
        <v>4576.8500000000004</v>
      </c>
      <c r="J17" s="21"/>
    </row>
    <row r="18" spans="1:10" x14ac:dyDescent="0.35">
      <c r="A18" t="e">
        <f>VLOOKUP(B18,Key!A:B,2,FALSE)</f>
        <v>#N/A</v>
      </c>
      <c r="B18" s="92" t="s">
        <v>194</v>
      </c>
      <c r="C18" s="96">
        <f>((C15)+(C16))+(C17)</f>
        <v>-1666.4099999999999</v>
      </c>
      <c r="D18" s="96">
        <f>((D15)+(D16))+(D17)</f>
        <v>-5423.15</v>
      </c>
      <c r="J18" s="21"/>
    </row>
    <row r="19" spans="1:10" x14ac:dyDescent="0.35">
      <c r="A19" t="e">
        <f>VLOOKUP(B19,Key!A:B,2,FALSE)</f>
        <v>#N/A</v>
      </c>
      <c r="B19" s="92" t="s">
        <v>29</v>
      </c>
      <c r="C19" s="93"/>
      <c r="D19" s="93"/>
      <c r="J19" s="21"/>
    </row>
    <row r="20" spans="1:10" x14ac:dyDescent="0.35">
      <c r="A20" t="str">
        <f>VLOOKUP(B20,Key!A:B,2,FALSE)</f>
        <v>Investments</v>
      </c>
      <c r="B20" s="92" t="s">
        <v>394</v>
      </c>
      <c r="C20" s="93"/>
      <c r="D20" s="93"/>
      <c r="J20" s="22"/>
    </row>
    <row r="21" spans="1:10" ht="14.25" customHeight="1" x14ac:dyDescent="0.35">
      <c r="A21" t="str">
        <f>VLOOKUP(B21,Key!A:B,2,FALSE)</f>
        <v>Investments</v>
      </c>
      <c r="B21" s="92" t="s">
        <v>395</v>
      </c>
      <c r="C21" s="94">
        <f>694404.58</f>
        <v>694404.58</v>
      </c>
      <c r="D21" s="94">
        <f>583669.33</f>
        <v>583669.32999999996</v>
      </c>
      <c r="J21" s="21"/>
    </row>
    <row r="22" spans="1:10" x14ac:dyDescent="0.35">
      <c r="A22" t="str">
        <f>VLOOKUP(B22,Key!A:B,2,FALSE)</f>
        <v>Investments</v>
      </c>
      <c r="B22" s="92" t="s">
        <v>396</v>
      </c>
      <c r="C22" s="94">
        <f>52363.69</f>
        <v>52363.69</v>
      </c>
      <c r="D22" s="94">
        <f>51164.41</f>
        <v>51164.41</v>
      </c>
      <c r="J22" s="21"/>
    </row>
    <row r="23" spans="1:10" x14ac:dyDescent="0.35">
      <c r="A23" t="str">
        <f>VLOOKUP(B23,Key!A:B,2,FALSE)</f>
        <v>Investments</v>
      </c>
      <c r="B23" s="92" t="s">
        <v>397</v>
      </c>
      <c r="C23" s="94">
        <f>52516.58</f>
        <v>52516.58</v>
      </c>
      <c r="D23" s="94">
        <f>51238.79</f>
        <v>51238.79</v>
      </c>
      <c r="J23" s="21"/>
    </row>
    <row r="24" spans="1:10" x14ac:dyDescent="0.35">
      <c r="A24" t="str">
        <f>VLOOKUP(B24,Key!A:B,2,FALSE)</f>
        <v>Investments</v>
      </c>
      <c r="B24" s="92" t="s">
        <v>398</v>
      </c>
      <c r="C24" s="94">
        <f>52516.58</f>
        <v>52516.58</v>
      </c>
      <c r="D24" s="94">
        <f>51238.79</f>
        <v>51238.79</v>
      </c>
      <c r="J24" s="21"/>
    </row>
    <row r="25" spans="1:10" x14ac:dyDescent="0.35">
      <c r="A25" t="str">
        <f>VLOOKUP(B25,Key!A:B,2,FALSE)</f>
        <v>Investments</v>
      </c>
      <c r="B25" s="92" t="s">
        <v>399</v>
      </c>
      <c r="C25" s="94">
        <f>0</f>
        <v>0</v>
      </c>
      <c r="D25" s="94">
        <f>25748.54</f>
        <v>25748.54</v>
      </c>
      <c r="J25" s="22"/>
    </row>
    <row r="26" spans="1:10" x14ac:dyDescent="0.35">
      <c r="A26" t="e">
        <f>VLOOKUP(B26,Key!A:B,2,FALSE)</f>
        <v>#N/A</v>
      </c>
      <c r="B26" s="92" t="s">
        <v>400</v>
      </c>
      <c r="C26" s="96">
        <f>(((((C20)+(C21))+(C22))+(C23))+(C24))+(C25)</f>
        <v>851801.42999999993</v>
      </c>
      <c r="D26" s="96">
        <f>(((((D20)+(D21))+(D22))+(D23))+(D24))+(D25)</f>
        <v>763059.8600000001</v>
      </c>
      <c r="J26" s="21"/>
    </row>
    <row r="27" spans="1:10" x14ac:dyDescent="0.35">
      <c r="A27" t="str">
        <f>VLOOKUP(B27,Key!A:B,2,FALSE)</f>
        <v>Cash and Equivalents</v>
      </c>
      <c r="B27" s="92" t="s">
        <v>401</v>
      </c>
      <c r="C27" s="94">
        <f>0</f>
        <v>0</v>
      </c>
      <c r="D27" s="94">
        <f>0</f>
        <v>0</v>
      </c>
      <c r="J27" s="21"/>
    </row>
    <row r="28" spans="1:10" x14ac:dyDescent="0.35">
      <c r="A28" t="str">
        <f>VLOOKUP(B28,Key!A:B,2,FALSE)</f>
        <v>Prepaid Expenses</v>
      </c>
      <c r="B28" s="92" t="s">
        <v>402</v>
      </c>
      <c r="C28" s="94">
        <f>21139.37</f>
        <v>21139.37</v>
      </c>
      <c r="D28" s="94">
        <f>10000</f>
        <v>10000</v>
      </c>
      <c r="J28" s="21"/>
    </row>
    <row r="29" spans="1:10" x14ac:dyDescent="0.35">
      <c r="A29" t="e">
        <f>VLOOKUP(B29,Key!A:B,2,FALSE)</f>
        <v>#N/A</v>
      </c>
      <c r="B29" s="92" t="s">
        <v>30</v>
      </c>
      <c r="C29" s="96">
        <f>((C26)+(C27))+(C28)</f>
        <v>872940.79999999993</v>
      </c>
      <c r="D29" s="96">
        <f>((D26)+(D27))+(D28)</f>
        <v>773059.8600000001</v>
      </c>
      <c r="J29" s="21"/>
    </row>
    <row r="30" spans="1:10" x14ac:dyDescent="0.35">
      <c r="A30" t="e">
        <f>VLOOKUP(B30,Key!A:B,2,FALSE)</f>
        <v>#N/A</v>
      </c>
      <c r="B30" s="92" t="s">
        <v>31</v>
      </c>
      <c r="C30" s="96">
        <f>((C13)+(C18))+(C29)</f>
        <v>1066997.1199999999</v>
      </c>
      <c r="D30" s="96">
        <f>((D13)+(D18))+(D29)</f>
        <v>973030.03000000014</v>
      </c>
      <c r="J30" s="21"/>
    </row>
    <row r="31" spans="1:10" x14ac:dyDescent="0.35">
      <c r="A31" t="e">
        <f>VLOOKUP(B31,Key!A:B,2,FALSE)</f>
        <v>#N/A</v>
      </c>
      <c r="B31" s="92" t="s">
        <v>32</v>
      </c>
      <c r="C31" s="93"/>
      <c r="D31" s="93"/>
    </row>
    <row r="32" spans="1:10" x14ac:dyDescent="0.35">
      <c r="A32" t="str">
        <f>VLOOKUP(B32,Key!A:B,2,FALSE)</f>
        <v>Fixed Assets, net</v>
      </c>
      <c r="B32" s="92" t="s">
        <v>403</v>
      </c>
      <c r="C32" s="94">
        <f>2853.38</f>
        <v>2853.38</v>
      </c>
      <c r="D32" s="94">
        <f>100840.02</f>
        <v>100840.02</v>
      </c>
    </row>
    <row r="33" spans="1:4" x14ac:dyDescent="0.35">
      <c r="A33" t="str">
        <f>VLOOKUP(B33,Key!A:B,2,FALSE)</f>
        <v>Fixed Assets, net</v>
      </c>
      <c r="B33" s="92" t="s">
        <v>404</v>
      </c>
      <c r="C33" s="94">
        <f>-2853.56</f>
        <v>-2853.56</v>
      </c>
      <c r="D33" s="94">
        <f>-100840.2</f>
        <v>-100840.2</v>
      </c>
    </row>
    <row r="34" spans="1:4" x14ac:dyDescent="0.35">
      <c r="A34" t="e">
        <f>VLOOKUP(B34,Key!A:B,2,FALSE)</f>
        <v>#N/A</v>
      </c>
      <c r="B34" s="92" t="s">
        <v>33</v>
      </c>
      <c r="C34" s="96">
        <f>(C32)+(C33)</f>
        <v>-0.17999999999983629</v>
      </c>
      <c r="D34" s="96">
        <f>(D32)+(D33)</f>
        <v>-0.17999999999301508</v>
      </c>
    </row>
    <row r="35" spans="1:4" x14ac:dyDescent="0.35">
      <c r="A35" t="e">
        <f>VLOOKUP(B35,Key!A:B,2,FALSE)</f>
        <v>#N/A</v>
      </c>
      <c r="B35" s="92" t="s">
        <v>34</v>
      </c>
      <c r="C35" s="96">
        <f>(C30)+(C34)</f>
        <v>1066996.94</v>
      </c>
      <c r="D35" s="96">
        <f>(D30)+(D34)</f>
        <v>973029.85000000009</v>
      </c>
    </row>
    <row r="36" spans="1:4" x14ac:dyDescent="0.35">
      <c r="A36" t="e">
        <f>VLOOKUP(B36,Key!A:B,2,FALSE)</f>
        <v>#N/A</v>
      </c>
      <c r="B36" s="92" t="s">
        <v>35</v>
      </c>
      <c r="C36" s="93"/>
      <c r="D36" s="93"/>
    </row>
    <row r="37" spans="1:4" x14ac:dyDescent="0.35">
      <c r="A37" t="e">
        <f>VLOOKUP(B37,Key!A:B,2,FALSE)</f>
        <v>#N/A</v>
      </c>
      <c r="B37" s="92" t="s">
        <v>36</v>
      </c>
      <c r="C37" s="93"/>
      <c r="D37" s="93"/>
    </row>
    <row r="38" spans="1:4" x14ac:dyDescent="0.35">
      <c r="A38" t="e">
        <f>VLOOKUP(B38,Key!A:B,2,FALSE)</f>
        <v>#N/A</v>
      </c>
      <c r="B38" s="92" t="s">
        <v>37</v>
      </c>
      <c r="C38" s="93"/>
      <c r="D38" s="93"/>
    </row>
    <row r="39" spans="1:4" x14ac:dyDescent="0.35">
      <c r="A39" t="e">
        <f>VLOOKUP(B39,Key!A:B,2,FALSE)</f>
        <v>#N/A</v>
      </c>
      <c r="B39" s="92" t="s">
        <v>38</v>
      </c>
      <c r="C39" s="93"/>
      <c r="D39" s="93"/>
    </row>
    <row r="40" spans="1:4" x14ac:dyDescent="0.35">
      <c r="A40" t="str">
        <f>VLOOKUP(B40,Key!A:B,2,FALSE)</f>
        <v>Accounts Payable</v>
      </c>
      <c r="B40" s="92" t="s">
        <v>405</v>
      </c>
      <c r="C40" s="94">
        <f>1440.68</f>
        <v>1440.68</v>
      </c>
      <c r="D40" s="94">
        <f>598.29</f>
        <v>598.29</v>
      </c>
    </row>
    <row r="41" spans="1:4" x14ac:dyDescent="0.35">
      <c r="A41" t="e">
        <f>VLOOKUP(B41,Key!A:B,2,FALSE)</f>
        <v>#N/A</v>
      </c>
      <c r="B41" s="92" t="s">
        <v>39</v>
      </c>
      <c r="C41" s="96">
        <f>C40</f>
        <v>1440.68</v>
      </c>
      <c r="D41" s="96">
        <f>D40</f>
        <v>598.29</v>
      </c>
    </row>
    <row r="42" spans="1:4" x14ac:dyDescent="0.35">
      <c r="A42" t="e">
        <f>VLOOKUP(B42,Key!A:B,2,FALSE)</f>
        <v>#N/A</v>
      </c>
      <c r="B42" s="92" t="s">
        <v>40</v>
      </c>
      <c r="C42" s="93"/>
      <c r="D42" s="93"/>
    </row>
    <row r="43" spans="1:4" x14ac:dyDescent="0.35">
      <c r="A43" t="str">
        <f>VLOOKUP(B43,Key!A:B,2,FALSE)</f>
        <v>Credit Cards Payable</v>
      </c>
      <c r="B43" s="92" t="s">
        <v>406</v>
      </c>
      <c r="C43" s="94">
        <f>21594.26</f>
        <v>21594.26</v>
      </c>
      <c r="D43" s="94">
        <f>5865.49</f>
        <v>5865.49</v>
      </c>
    </row>
    <row r="44" spans="1:4" x14ac:dyDescent="0.35">
      <c r="A44" t="e">
        <f>VLOOKUP(B44,Key!A:B,2,FALSE)</f>
        <v>#N/A</v>
      </c>
      <c r="B44" s="92" t="s">
        <v>41</v>
      </c>
      <c r="C44" s="96">
        <f>C43</f>
        <v>21594.26</v>
      </c>
      <c r="D44" s="96">
        <f>D43</f>
        <v>5865.49</v>
      </c>
    </row>
    <row r="45" spans="1:4" x14ac:dyDescent="0.35">
      <c r="A45" t="e">
        <f>VLOOKUP(B45,Key!A:B,2,FALSE)</f>
        <v>#N/A</v>
      </c>
      <c r="B45" s="92" t="s">
        <v>42</v>
      </c>
      <c r="C45" s="93"/>
      <c r="D45" s="93"/>
    </row>
    <row r="46" spans="1:4" x14ac:dyDescent="0.35">
      <c r="A46" t="str">
        <f>VLOOKUP(B46,Key!A:B,2,FALSE)</f>
        <v>Accrued Expenses</v>
      </c>
      <c r="B46" s="92" t="s">
        <v>407</v>
      </c>
      <c r="C46" s="94">
        <f>0</f>
        <v>0</v>
      </c>
      <c r="D46" s="93"/>
    </row>
    <row r="47" spans="1:4" x14ac:dyDescent="0.35">
      <c r="A47" t="str">
        <f>VLOOKUP(B47,Key!A:B,2,FALSE)</f>
        <v>Payroll Accruals</v>
      </c>
      <c r="B47" s="92" t="s">
        <v>408</v>
      </c>
      <c r="C47" s="94">
        <f>17672</f>
        <v>17672</v>
      </c>
      <c r="D47" s="94">
        <f>13407.96</f>
        <v>13407.96</v>
      </c>
    </row>
    <row r="48" spans="1:4" x14ac:dyDescent="0.35">
      <c r="A48" t="str">
        <f>VLOOKUP(B48,Key!A:B,2,FALSE)</f>
        <v>Payroll Accruals</v>
      </c>
      <c r="B48" s="92" t="s">
        <v>409</v>
      </c>
      <c r="C48" s="94">
        <f>15030.08</f>
        <v>15030.08</v>
      </c>
      <c r="D48" s="94">
        <f>13728.17</f>
        <v>13728.17</v>
      </c>
    </row>
    <row r="49" spans="1:4" x14ac:dyDescent="0.35">
      <c r="A49" t="str">
        <f>VLOOKUP(B49,Key!A:B,2,FALSE)</f>
        <v>Payroll Accruals</v>
      </c>
      <c r="B49" s="92" t="s">
        <v>410</v>
      </c>
      <c r="C49" s="94">
        <f>0</f>
        <v>0</v>
      </c>
      <c r="D49" s="94">
        <f>-61.01</f>
        <v>-61.01</v>
      </c>
    </row>
    <row r="50" spans="1:4" x14ac:dyDescent="0.35">
      <c r="A50" t="str">
        <f>VLOOKUP(B50,Key!A:B,2,FALSE)</f>
        <v>Payroll Accruals</v>
      </c>
      <c r="B50" s="92" t="s">
        <v>411</v>
      </c>
      <c r="C50" s="94">
        <f>4060.49</f>
        <v>4060.49</v>
      </c>
      <c r="D50" s="94">
        <f>0</f>
        <v>0</v>
      </c>
    </row>
    <row r="51" spans="1:4" x14ac:dyDescent="0.35">
      <c r="A51" t="str">
        <f>VLOOKUP(B51,Key!A:B,2,FALSE)</f>
        <v>Payroll Accruals</v>
      </c>
      <c r="B51" s="92" t="s">
        <v>412</v>
      </c>
      <c r="C51" s="94">
        <f>0</f>
        <v>0</v>
      </c>
      <c r="D51" s="94">
        <f>-0.01</f>
        <v>-0.01</v>
      </c>
    </row>
    <row r="52" spans="1:4" x14ac:dyDescent="0.35">
      <c r="A52" t="str">
        <f>VLOOKUP(B52,Key!A:B,2,FALSE)</f>
        <v>Payroll Accruals</v>
      </c>
      <c r="B52" s="92" t="s">
        <v>413</v>
      </c>
      <c r="C52" s="94">
        <f>650.82</f>
        <v>650.82000000000005</v>
      </c>
      <c r="D52" s="94">
        <f>0</f>
        <v>0</v>
      </c>
    </row>
    <row r="53" spans="1:4" x14ac:dyDescent="0.35">
      <c r="A53" t="str">
        <f>VLOOKUP(B53,Key!A:B,2,FALSE)</f>
        <v>Payroll Accruals</v>
      </c>
      <c r="B53" s="92" t="s">
        <v>414</v>
      </c>
      <c r="C53" s="94">
        <f>55.14</f>
        <v>55.14</v>
      </c>
      <c r="D53" s="94">
        <f>97.56</f>
        <v>97.56</v>
      </c>
    </row>
    <row r="54" spans="1:4" x14ac:dyDescent="0.35">
      <c r="A54" t="str">
        <f>VLOOKUP(B54,Key!A:B,2,FALSE)</f>
        <v>Payroll Accruals</v>
      </c>
      <c r="B54" s="92" t="s">
        <v>415</v>
      </c>
      <c r="C54" s="94">
        <f>522.35</f>
        <v>522.35</v>
      </c>
      <c r="D54" s="94">
        <f>182.51</f>
        <v>182.51</v>
      </c>
    </row>
    <row r="55" spans="1:4" x14ac:dyDescent="0.35">
      <c r="A55" t="str">
        <f>VLOOKUP(B55,Key!A:B,2,FALSE)</f>
        <v>Payroll Accruals</v>
      </c>
      <c r="B55" s="92" t="s">
        <v>416</v>
      </c>
      <c r="C55" s="94">
        <f>-544.1</f>
        <v>-544.1</v>
      </c>
      <c r="D55" s="94">
        <f>110.46</f>
        <v>110.46</v>
      </c>
    </row>
    <row r="56" spans="1:4" x14ac:dyDescent="0.35">
      <c r="A56" t="str">
        <f>VLOOKUP(B56,Key!A:B,2,FALSE)</f>
        <v>Payroll Accruals</v>
      </c>
      <c r="B56" s="92" t="s">
        <v>417</v>
      </c>
      <c r="C56" s="94">
        <f>1310.57</f>
        <v>1310.57</v>
      </c>
      <c r="D56" s="94">
        <f>-57.77</f>
        <v>-57.77</v>
      </c>
    </row>
    <row r="57" spans="1:4" x14ac:dyDescent="0.35">
      <c r="A57" t="str">
        <f>VLOOKUP(B57,Key!A:B,2,FALSE)</f>
        <v>Payroll Accruals</v>
      </c>
      <c r="B57" s="92" t="s">
        <v>418</v>
      </c>
      <c r="C57" s="94">
        <f>0</f>
        <v>0</v>
      </c>
      <c r="D57" s="94">
        <f>-0.59</f>
        <v>-0.59</v>
      </c>
    </row>
    <row r="58" spans="1:4" x14ac:dyDescent="0.35">
      <c r="A58" t="str">
        <f>VLOOKUP(B58,Key!A:B,2,FALSE)</f>
        <v>Payroll Accruals</v>
      </c>
      <c r="B58" s="92" t="s">
        <v>419</v>
      </c>
      <c r="C58" s="94">
        <f>0</f>
        <v>0</v>
      </c>
      <c r="D58" s="94">
        <f>-138.65</f>
        <v>-138.65</v>
      </c>
    </row>
    <row r="59" spans="1:4" x14ac:dyDescent="0.35">
      <c r="A59" t="str">
        <f>VLOOKUP(B59,Key!A:B,2,FALSE)</f>
        <v>Payroll Accruals</v>
      </c>
      <c r="B59" s="92" t="s">
        <v>420</v>
      </c>
      <c r="C59" s="94">
        <f>0</f>
        <v>0</v>
      </c>
      <c r="D59" s="94">
        <f>-63.14</f>
        <v>-63.14</v>
      </c>
    </row>
    <row r="60" spans="1:4" x14ac:dyDescent="0.35">
      <c r="A60" t="str">
        <f>VLOOKUP(B60,Key!A:B,2,FALSE)</f>
        <v>Payroll Accruals</v>
      </c>
      <c r="B60" s="92" t="s">
        <v>421</v>
      </c>
      <c r="C60" s="94">
        <f>0</f>
        <v>0</v>
      </c>
      <c r="D60" s="94">
        <f>38.35</f>
        <v>38.35</v>
      </c>
    </row>
    <row r="61" spans="1:4" x14ac:dyDescent="0.35">
      <c r="A61" t="str">
        <f>VLOOKUP(B61,Key!A:B,2,FALSE)</f>
        <v>Payroll Accruals</v>
      </c>
      <c r="B61" s="92" t="s">
        <v>422</v>
      </c>
      <c r="C61" s="94">
        <f>0</f>
        <v>0</v>
      </c>
      <c r="D61" s="94">
        <f>-60.99</f>
        <v>-60.99</v>
      </c>
    </row>
    <row r="62" spans="1:4" x14ac:dyDescent="0.35">
      <c r="A62" t="str">
        <f>VLOOKUP(B62,Key!A:B,2,FALSE)</f>
        <v>Payroll Accruals</v>
      </c>
      <c r="B62" s="92" t="s">
        <v>423</v>
      </c>
      <c r="C62" s="94">
        <f>0</f>
        <v>0</v>
      </c>
      <c r="D62" s="94">
        <f>0.03</f>
        <v>0.03</v>
      </c>
    </row>
    <row r="63" spans="1:4" ht="15" customHeight="1" x14ac:dyDescent="0.35">
      <c r="A63" t="e">
        <f>VLOOKUP(B63,Key!A:B,2,FALSE)</f>
        <v>#N/A</v>
      </c>
      <c r="B63" s="92" t="s">
        <v>424</v>
      </c>
      <c r="C63" s="96">
        <f>(((((((((((((C49)+(C50))+(C51))+(C52))+(C53))+(C54))+(C55))+(C56))+(C57))+(C58))+(C59))+(C60))+(C61))+(C62)</f>
        <v>6055.2699999999995</v>
      </c>
      <c r="D63" s="96">
        <f>(((((((((((((D49)+(D50))+(D51))+(D52))+(D53))+(D54))+(D55))+(D56))+(D57))+(D58))+(D59))+(D60))+(D61))+(D62)</f>
        <v>46.750000000000036</v>
      </c>
    </row>
    <row r="64" spans="1:4" x14ac:dyDescent="0.35">
      <c r="A64" t="str">
        <f>VLOOKUP(B64,Key!A:B,2,FALSE)</f>
        <v>Payroll Accruals</v>
      </c>
      <c r="B64" s="92" t="s">
        <v>425</v>
      </c>
      <c r="C64" s="94">
        <f>0</f>
        <v>0</v>
      </c>
      <c r="D64" s="93"/>
    </row>
    <row r="65" spans="1:5" x14ac:dyDescent="0.35">
      <c r="A65" t="str">
        <f>VLOOKUP(B65,Key!A:B,2,FALSE)</f>
        <v>Deferred Dues</v>
      </c>
      <c r="B65" s="92" t="s">
        <v>426</v>
      </c>
      <c r="C65" s="94">
        <f>289688.93</f>
        <v>289688.93</v>
      </c>
      <c r="D65" s="94">
        <f>0</f>
        <v>0</v>
      </c>
    </row>
    <row r="66" spans="1:5" x14ac:dyDescent="0.35">
      <c r="A66" t="str">
        <f>VLOOKUP(B66,Key!A:B,2,FALSE)</f>
        <v>Deferred Dues</v>
      </c>
      <c r="B66" s="92" t="s">
        <v>427</v>
      </c>
      <c r="C66" s="94">
        <f>0</f>
        <v>0</v>
      </c>
      <c r="D66" s="94">
        <f>55022.96</f>
        <v>55022.96</v>
      </c>
      <c r="E66" t="s">
        <v>224</v>
      </c>
    </row>
    <row r="67" spans="1:5" x14ac:dyDescent="0.35">
      <c r="A67" t="str">
        <f>VLOOKUP(B67,Key!A:B,2,FALSE)</f>
        <v>Deferred Dues</v>
      </c>
      <c r="B67" s="92" t="s">
        <v>428</v>
      </c>
      <c r="C67" s="94">
        <f>0</f>
        <v>0</v>
      </c>
      <c r="D67" s="94">
        <f>54979.17</f>
        <v>54979.17</v>
      </c>
    </row>
    <row r="68" spans="1:5" x14ac:dyDescent="0.35">
      <c r="A68" t="str">
        <f>VLOOKUP(B68,Key!A:B,2,FALSE)</f>
        <v>Deferred Dues</v>
      </c>
      <c r="B68" s="92" t="s">
        <v>429</v>
      </c>
      <c r="C68" s="94">
        <f>0</f>
        <v>0</v>
      </c>
      <c r="D68" s="94">
        <f>66264.96</f>
        <v>66264.960000000006</v>
      </c>
    </row>
    <row r="69" spans="1:5" x14ac:dyDescent="0.35">
      <c r="A69" t="str">
        <f>VLOOKUP(B69,Key!A:B,2,FALSE)</f>
        <v>Deferred Dues</v>
      </c>
      <c r="B69" s="92" t="s">
        <v>430</v>
      </c>
      <c r="C69" s="94">
        <f>0</f>
        <v>0</v>
      </c>
      <c r="D69" s="94">
        <f>5144.84</f>
        <v>5144.84</v>
      </c>
    </row>
    <row r="70" spans="1:5" x14ac:dyDescent="0.35">
      <c r="A70" t="str">
        <f>VLOOKUP(B70,Key!A:B,2,FALSE)</f>
        <v>Deferred Dues</v>
      </c>
      <c r="B70" s="92" t="s">
        <v>431</v>
      </c>
      <c r="C70" s="94">
        <f>0</f>
        <v>0</v>
      </c>
      <c r="D70" s="94">
        <f>7739.54</f>
        <v>7739.54</v>
      </c>
    </row>
    <row r="71" spans="1:5" x14ac:dyDescent="0.35">
      <c r="A71" t="str">
        <f>VLOOKUP(B71,Key!A:B,2,FALSE)</f>
        <v>Deferred Dues</v>
      </c>
      <c r="B71" s="92" t="s">
        <v>432</v>
      </c>
      <c r="C71" s="94">
        <f>0</f>
        <v>0</v>
      </c>
      <c r="D71" s="94">
        <f>21175</f>
        <v>21175</v>
      </c>
    </row>
    <row r="72" spans="1:5" x14ac:dyDescent="0.35">
      <c r="A72" t="str">
        <f>VLOOKUP(B72,Key!A:B,2,FALSE)</f>
        <v>Deferred Dues</v>
      </c>
      <c r="B72" s="92" t="s">
        <v>433</v>
      </c>
      <c r="C72" s="94">
        <f>0</f>
        <v>0</v>
      </c>
      <c r="D72" s="94">
        <f>42262.5</f>
        <v>42262.5</v>
      </c>
    </row>
    <row r="73" spans="1:5" x14ac:dyDescent="0.35">
      <c r="A73" t="str">
        <f>VLOOKUP(B73,Key!A:B,2,FALSE)</f>
        <v>Deferred Dues</v>
      </c>
      <c r="B73" s="92" t="s">
        <v>434</v>
      </c>
      <c r="C73" s="94">
        <f>0</f>
        <v>0</v>
      </c>
      <c r="D73" s="94">
        <f>11025</f>
        <v>11025</v>
      </c>
    </row>
    <row r="74" spans="1:5" x14ac:dyDescent="0.35">
      <c r="A74" t="e">
        <f>VLOOKUP(B74,Key!A:B,2,FALSE)</f>
        <v>#N/A</v>
      </c>
      <c r="B74" s="92" t="s">
        <v>435</v>
      </c>
      <c r="C74" s="96">
        <f>((((((((C65)+(C66))+(C67))+(C68))+(C69))+(C70))+(C71))+(C72))+(C73)</f>
        <v>289688.93</v>
      </c>
      <c r="D74" s="96">
        <f>((((((((D65)+(D66))+(D67))+(D68))+(D69))+(D70))+(D71))+(D72))+(D73)</f>
        <v>263613.97000000003</v>
      </c>
    </row>
    <row r="75" spans="1:5" x14ac:dyDescent="0.35">
      <c r="A75" t="str">
        <f>VLOOKUP(B75,Key!A:B,2,FALSE)</f>
        <v>Deferred Other</v>
      </c>
      <c r="B75" s="92" t="s">
        <v>436</v>
      </c>
      <c r="C75" s="94">
        <f>4299</f>
        <v>4299</v>
      </c>
      <c r="D75" s="94">
        <f>0</f>
        <v>0</v>
      </c>
    </row>
    <row r="76" spans="1:5" x14ac:dyDescent="0.35">
      <c r="A76" t="str">
        <f>VLOOKUP(B76,Key!A:B,2,FALSE)</f>
        <v>Deferred Other</v>
      </c>
      <c r="B76" s="92" t="s">
        <v>437</v>
      </c>
      <c r="C76" s="94">
        <f>0</f>
        <v>0</v>
      </c>
      <c r="D76" s="94">
        <f>0</f>
        <v>0</v>
      </c>
    </row>
    <row r="77" spans="1:5" x14ac:dyDescent="0.35">
      <c r="A77" t="str">
        <f>VLOOKUP(B77,Key!A:B,2,FALSE)</f>
        <v>Deferred Other</v>
      </c>
      <c r="B77" s="92" t="s">
        <v>438</v>
      </c>
      <c r="C77" s="94">
        <f>0</f>
        <v>0</v>
      </c>
      <c r="D77" s="94">
        <f>0</f>
        <v>0</v>
      </c>
    </row>
    <row r="78" spans="1:5" x14ac:dyDescent="0.35">
      <c r="A78" t="str">
        <f>VLOOKUP(B78,Key!A:B,2,FALSE)</f>
        <v>Accrued Expenses</v>
      </c>
      <c r="B78" s="92" t="s">
        <v>439</v>
      </c>
      <c r="C78" s="94">
        <f>0</f>
        <v>0</v>
      </c>
      <c r="D78" s="94">
        <f>0</f>
        <v>0</v>
      </c>
    </row>
    <row r="79" spans="1:5" x14ac:dyDescent="0.35">
      <c r="A79" t="str">
        <f>VLOOKUP(B79,Key!A:B,2,FALSE)</f>
        <v>Accrued Expenses</v>
      </c>
      <c r="B79" s="92" t="s">
        <v>440</v>
      </c>
      <c r="C79" s="94">
        <f>0</f>
        <v>0</v>
      </c>
      <c r="D79" s="94">
        <f>0</f>
        <v>0</v>
      </c>
    </row>
    <row r="80" spans="1:5" x14ac:dyDescent="0.35">
      <c r="A80" t="str">
        <f>VLOOKUP(B80,Key!A:B,2,FALSE)</f>
        <v>Accrued Expenses</v>
      </c>
      <c r="B80" s="92" t="s">
        <v>441</v>
      </c>
      <c r="C80" s="94">
        <f>0</f>
        <v>0</v>
      </c>
      <c r="D80" s="94">
        <f>218.57</f>
        <v>218.57</v>
      </c>
    </row>
    <row r="81" spans="1:4" x14ac:dyDescent="0.35">
      <c r="A81" t="str">
        <f>VLOOKUP(B81,Key!A:B,2,FALSE)</f>
        <v>Accrued Expenses</v>
      </c>
      <c r="B81" s="92" t="s">
        <v>442</v>
      </c>
      <c r="C81" s="94">
        <f>0</f>
        <v>0</v>
      </c>
      <c r="D81" s="94">
        <f>-218.57</f>
        <v>-218.57</v>
      </c>
    </row>
    <row r="82" spans="1:4" x14ac:dyDescent="0.35">
      <c r="A82" t="e">
        <f>VLOOKUP(B82,Key!A:B,2,FALSE)</f>
        <v>#N/A</v>
      </c>
      <c r="B82" s="92" t="s">
        <v>43</v>
      </c>
      <c r="C82" s="96">
        <f>((((((((((((C46)+(C47))+(C48))+(C63))+(C64))+(C74))+(C75))+(C76))+(C77))+(C78))+(C79))+(C80))+(C81)</f>
        <v>332745.27999999997</v>
      </c>
      <c r="D82" s="96">
        <f>((((((((((((D46)+(D47))+(D48))+(D63))+(D64))+(D74))+(D75))+(D76))+(D77))+(D78))+(D79))+(D80))+(D81)</f>
        <v>290796.85000000003</v>
      </c>
    </row>
    <row r="83" spans="1:4" x14ac:dyDescent="0.35">
      <c r="A83" t="e">
        <f>VLOOKUP(B83,Key!A:B,2,FALSE)</f>
        <v>#N/A</v>
      </c>
      <c r="B83" s="92" t="s">
        <v>44</v>
      </c>
      <c r="C83" s="96">
        <f>((C41)+(C44))+(C82)</f>
        <v>355780.22</v>
      </c>
      <c r="D83" s="96">
        <f>((D41)+(D44))+(D82)</f>
        <v>297260.63000000006</v>
      </c>
    </row>
    <row r="84" spans="1:4" x14ac:dyDescent="0.35">
      <c r="A84" t="e">
        <f>VLOOKUP(B84,Key!A:B,2,FALSE)</f>
        <v>#N/A</v>
      </c>
      <c r="B84" s="92" t="s">
        <v>300</v>
      </c>
      <c r="C84" s="93"/>
      <c r="D84" s="93"/>
    </row>
    <row r="85" spans="1:4" x14ac:dyDescent="0.35">
      <c r="A85" t="str">
        <f>VLOOKUP(B85,Key!A:B,2,FALSE)</f>
        <v>SBA Loan</v>
      </c>
      <c r="B85" s="92" t="s">
        <v>443</v>
      </c>
      <c r="C85" s="94">
        <f>142960.54</f>
        <v>142960.54</v>
      </c>
      <c r="D85" s="94">
        <f>144975.63</f>
        <v>144975.63</v>
      </c>
    </row>
    <row r="86" spans="1:4" x14ac:dyDescent="0.35">
      <c r="A86" t="e">
        <f>VLOOKUP(B86,Key!A:B,2,FALSE)</f>
        <v>#N/A</v>
      </c>
      <c r="B86" s="92" t="s">
        <v>301</v>
      </c>
      <c r="C86" s="96">
        <f>C85</f>
        <v>142960.54</v>
      </c>
      <c r="D86" s="96">
        <f>D85</f>
        <v>144975.63</v>
      </c>
    </row>
    <row r="87" spans="1:4" x14ac:dyDescent="0.35">
      <c r="A87" t="e">
        <f>VLOOKUP(B87,Key!A:B,2,FALSE)</f>
        <v>#N/A</v>
      </c>
      <c r="B87" s="92" t="s">
        <v>45</v>
      </c>
      <c r="C87" s="96">
        <f>(C83)+(C86)</f>
        <v>498740.76</v>
      </c>
      <c r="D87" s="96">
        <f>(D83)+(D86)</f>
        <v>442236.26000000007</v>
      </c>
    </row>
    <row r="88" spans="1:4" x14ac:dyDescent="0.35">
      <c r="A88" t="e">
        <f>VLOOKUP(B88,Key!A:B,2,FALSE)</f>
        <v>#N/A</v>
      </c>
      <c r="B88" s="92" t="s">
        <v>46</v>
      </c>
      <c r="C88" s="93"/>
      <c r="D88" s="93"/>
    </row>
    <row r="89" spans="1:4" x14ac:dyDescent="0.35">
      <c r="A89" t="str">
        <f>VLOOKUP(B89,Key!A:B,2,FALSE)</f>
        <v>Unrestricted</v>
      </c>
      <c r="B89" s="92" t="s">
        <v>444</v>
      </c>
      <c r="C89" s="94">
        <f>585445.12</f>
        <v>585445.12</v>
      </c>
      <c r="D89" s="94">
        <f>539097.84</f>
        <v>539097.84</v>
      </c>
    </row>
    <row r="90" spans="1:4" x14ac:dyDescent="0.35">
      <c r="A90" t="str">
        <f>VLOOKUP(B90,Key!A:B,2,FALSE)</f>
        <v>Unrestricted</v>
      </c>
      <c r="B90" s="92" t="s">
        <v>445</v>
      </c>
      <c r="C90" s="94">
        <f>0</f>
        <v>0</v>
      </c>
      <c r="D90" s="94">
        <f>0</f>
        <v>0</v>
      </c>
    </row>
    <row r="91" spans="1:4" x14ac:dyDescent="0.35">
      <c r="A91" t="str">
        <f>VLOOKUP(B91,Key!A:B,2,FALSE)</f>
        <v>Net Income</v>
      </c>
      <c r="B91" s="92" t="s">
        <v>195</v>
      </c>
      <c r="C91" s="94">
        <f>-17188.94</f>
        <v>-17188.939999999999</v>
      </c>
      <c r="D91" s="94">
        <f>-8304.25</f>
        <v>-8304.25</v>
      </c>
    </row>
    <row r="92" spans="1:4" x14ac:dyDescent="0.35">
      <c r="A92" t="e">
        <f>VLOOKUP(B92,Key!A:B,2,FALSE)</f>
        <v>#N/A</v>
      </c>
      <c r="B92" s="92" t="s">
        <v>47</v>
      </c>
      <c r="C92" s="96">
        <f>((C89)+(C90))+(C91)</f>
        <v>568256.18000000005</v>
      </c>
      <c r="D92" s="96">
        <f>((D89)+(D90))+(D91)</f>
        <v>530793.59</v>
      </c>
    </row>
    <row r="93" spans="1:4" x14ac:dyDescent="0.35">
      <c r="A93" t="e">
        <f>VLOOKUP(B93,Key!A:B,2,FALSE)</f>
        <v>#N/A</v>
      </c>
      <c r="B93" s="92" t="s">
        <v>48</v>
      </c>
      <c r="C93" s="96">
        <f>(C87)+(C92)</f>
        <v>1066996.94</v>
      </c>
      <c r="D93" s="96">
        <f>(D87)+(D92)</f>
        <v>973029.85000000009</v>
      </c>
    </row>
    <row r="94" spans="1:4" x14ac:dyDescent="0.35">
      <c r="A94" t="e">
        <f>VLOOKUP(B94,Key!A:B,2,FALSE)</f>
        <v>#N/A</v>
      </c>
    </row>
    <row r="95" spans="1:4" x14ac:dyDescent="0.35">
      <c r="A95" t="e">
        <f>VLOOKUP(B95,Key!A:B,2,FALSE)</f>
        <v>#N/A</v>
      </c>
    </row>
    <row r="96" spans="1:4" x14ac:dyDescent="0.35">
      <c r="A96" t="e">
        <f>VLOOKUP(B96,Key!A:B,2,FALSE)</f>
        <v>#N/A</v>
      </c>
    </row>
    <row r="97" spans="1:1" x14ac:dyDescent="0.35">
      <c r="A97" t="e">
        <f>VLOOKUP(B97,Key!A:B,2,FALSE)</f>
        <v>#N/A</v>
      </c>
    </row>
    <row r="98" spans="1:1" x14ac:dyDescent="0.35">
      <c r="A98" t="e">
        <f>VLOOKUP(B98,Key!A:B,2,FALSE)</f>
        <v>#N/A</v>
      </c>
    </row>
    <row r="99" spans="1:1" x14ac:dyDescent="0.35">
      <c r="A99" t="e">
        <f>VLOOKUP(B99,Key!A:B,2,FALSE)</f>
        <v>#N/A</v>
      </c>
    </row>
    <row r="100" spans="1:1" x14ac:dyDescent="0.35">
      <c r="A100" t="e">
        <f>VLOOKUP(B100,Key!A:B,2,FALSE)</f>
        <v>#N/A</v>
      </c>
    </row>
  </sheetData>
  <mergeCells count="4">
    <mergeCell ref="B1:D1"/>
    <mergeCell ref="B2:D2"/>
    <mergeCell ref="B3:D3"/>
    <mergeCell ref="C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A5A85-4FFA-4F38-BBC2-DEF88069FD8C}">
  <sheetPr>
    <tabColor theme="9" tint="0.59999389629810485"/>
  </sheetPr>
  <dimension ref="A1:I101"/>
  <sheetViews>
    <sheetView workbookViewId="0">
      <selection sqref="A1:I1"/>
    </sheetView>
  </sheetViews>
  <sheetFormatPr defaultRowHeight="14.5" x14ac:dyDescent="0.35"/>
  <cols>
    <col min="1" max="1" width="47.26953125" customWidth="1"/>
    <col min="2" max="7" width="12.54296875" customWidth="1"/>
    <col min="8" max="8" width="10.1796875" bestFit="1" customWidth="1"/>
    <col min="9" max="9" width="10.453125" bestFit="1" customWidth="1"/>
  </cols>
  <sheetData>
    <row r="1" spans="1:9" ht="18" x14ac:dyDescent="0.4">
      <c r="A1" s="116" t="s">
        <v>55</v>
      </c>
      <c r="B1" s="115"/>
      <c r="C1" s="115"/>
      <c r="D1" s="115"/>
      <c r="E1" s="115"/>
      <c r="F1" s="115"/>
      <c r="G1" s="115"/>
      <c r="H1" s="115"/>
      <c r="I1" s="115"/>
    </row>
    <row r="2" spans="1:9" ht="18" x14ac:dyDescent="0.4">
      <c r="A2" s="116" t="s">
        <v>120</v>
      </c>
      <c r="B2" s="115"/>
      <c r="C2" s="115"/>
      <c r="D2" s="115"/>
      <c r="E2" s="115"/>
      <c r="F2" s="115"/>
      <c r="G2" s="115"/>
      <c r="H2" s="115"/>
      <c r="I2" s="115"/>
    </row>
    <row r="3" spans="1:9" x14ac:dyDescent="0.35">
      <c r="A3" s="118" t="s">
        <v>157</v>
      </c>
      <c r="B3" s="115"/>
      <c r="C3" s="115"/>
      <c r="D3" s="115"/>
      <c r="E3" s="115"/>
      <c r="F3" s="115"/>
      <c r="G3" s="115"/>
      <c r="H3" s="115"/>
      <c r="I3" s="115"/>
    </row>
    <row r="5" spans="1:9" ht="24" x14ac:dyDescent="0.35">
      <c r="A5" s="1"/>
      <c r="B5" s="34" t="s">
        <v>124</v>
      </c>
      <c r="C5" s="34" t="s">
        <v>125</v>
      </c>
      <c r="D5" s="34" t="s">
        <v>126</v>
      </c>
      <c r="E5" s="34" t="s">
        <v>127</v>
      </c>
      <c r="F5" s="34" t="s">
        <v>128</v>
      </c>
      <c r="G5" s="34" t="s">
        <v>129</v>
      </c>
      <c r="H5" s="34" t="s">
        <v>158</v>
      </c>
      <c r="I5" s="34" t="s">
        <v>14</v>
      </c>
    </row>
    <row r="6" spans="1:9" x14ac:dyDescent="0.35">
      <c r="A6" s="16" t="s">
        <v>19</v>
      </c>
      <c r="B6" s="17"/>
      <c r="C6" s="17"/>
      <c r="D6" s="17"/>
      <c r="E6" s="17"/>
      <c r="F6" s="17"/>
      <c r="G6" s="17"/>
      <c r="H6" s="17"/>
      <c r="I6" s="17"/>
    </row>
    <row r="7" spans="1:9" x14ac:dyDescent="0.35">
      <c r="A7" s="16" t="s">
        <v>56</v>
      </c>
      <c r="B7" s="17"/>
      <c r="C7" s="17"/>
      <c r="D7" s="17"/>
      <c r="E7" s="17"/>
      <c r="F7" s="17"/>
      <c r="G7" s="17"/>
      <c r="H7" s="17"/>
      <c r="I7" s="18">
        <f t="shared" ref="I7:I28" si="0">((((((B7)+(C7))+(D7))+(E7))+(F7))+(G7))+(H7)</f>
        <v>0</v>
      </c>
    </row>
    <row r="8" spans="1:9" x14ac:dyDescent="0.35">
      <c r="A8" s="16" t="s">
        <v>57</v>
      </c>
      <c r="B8" s="18">
        <f>32159.51</f>
        <v>32159.51</v>
      </c>
      <c r="C8" s="18">
        <f>2804.73</f>
        <v>2804.73</v>
      </c>
      <c r="D8" s="18">
        <f>4078.95</f>
        <v>4078.95</v>
      </c>
      <c r="E8" s="18">
        <f>8872.03</f>
        <v>8872.0300000000007</v>
      </c>
      <c r="F8" s="18">
        <f>4966.45</f>
        <v>4966.45</v>
      </c>
      <c r="G8" s="18">
        <f>27010.89</f>
        <v>27010.89</v>
      </c>
      <c r="H8" s="18">
        <f>2057.83</f>
        <v>2057.83</v>
      </c>
      <c r="I8" s="18">
        <f t="shared" si="0"/>
        <v>81950.39</v>
      </c>
    </row>
    <row r="9" spans="1:9" x14ac:dyDescent="0.35">
      <c r="A9" s="16" t="s">
        <v>58</v>
      </c>
      <c r="B9" s="19">
        <f t="shared" ref="B9:H9" si="1">(B7)+(B8)</f>
        <v>32159.51</v>
      </c>
      <c r="C9" s="19">
        <f t="shared" si="1"/>
        <v>2804.73</v>
      </c>
      <c r="D9" s="19">
        <f t="shared" si="1"/>
        <v>4078.95</v>
      </c>
      <c r="E9" s="19">
        <f t="shared" si="1"/>
        <v>8872.0300000000007</v>
      </c>
      <c r="F9" s="19">
        <f t="shared" si="1"/>
        <v>4966.45</v>
      </c>
      <c r="G9" s="19">
        <f t="shared" si="1"/>
        <v>27010.89</v>
      </c>
      <c r="H9" s="19">
        <f t="shared" si="1"/>
        <v>2057.83</v>
      </c>
      <c r="I9" s="19">
        <f t="shared" si="0"/>
        <v>81950.39</v>
      </c>
    </row>
    <row r="10" spans="1:9" x14ac:dyDescent="0.35">
      <c r="A10" s="16" t="s">
        <v>59</v>
      </c>
      <c r="B10" s="17"/>
      <c r="C10" s="17"/>
      <c r="D10" s="17"/>
      <c r="E10" s="17"/>
      <c r="F10" s="17"/>
      <c r="G10" s="17"/>
      <c r="H10" s="17"/>
      <c r="I10" s="18">
        <f t="shared" si="0"/>
        <v>0</v>
      </c>
    </row>
    <row r="11" spans="1:9" x14ac:dyDescent="0.35">
      <c r="A11" s="16" t="s">
        <v>60</v>
      </c>
      <c r="B11" s="17"/>
      <c r="C11" s="17"/>
      <c r="D11" s="18">
        <f>65000</f>
        <v>65000</v>
      </c>
      <c r="E11" s="17"/>
      <c r="F11" s="17"/>
      <c r="G11" s="18">
        <f>15500</f>
        <v>15500</v>
      </c>
      <c r="H11" s="17"/>
      <c r="I11" s="18">
        <f t="shared" si="0"/>
        <v>80500</v>
      </c>
    </row>
    <row r="12" spans="1:9" x14ac:dyDescent="0.35">
      <c r="A12" s="16" t="s">
        <v>61</v>
      </c>
      <c r="B12" s="19">
        <f t="shared" ref="B12:H12" si="2">(B10)+(B11)</f>
        <v>0</v>
      </c>
      <c r="C12" s="19">
        <f t="shared" si="2"/>
        <v>0</v>
      </c>
      <c r="D12" s="19">
        <f t="shared" si="2"/>
        <v>65000</v>
      </c>
      <c r="E12" s="19">
        <f t="shared" si="2"/>
        <v>0</v>
      </c>
      <c r="F12" s="19">
        <f t="shared" si="2"/>
        <v>0</v>
      </c>
      <c r="G12" s="19">
        <f t="shared" si="2"/>
        <v>15500</v>
      </c>
      <c r="H12" s="19">
        <f t="shared" si="2"/>
        <v>0</v>
      </c>
      <c r="I12" s="19">
        <f t="shared" si="0"/>
        <v>80500</v>
      </c>
    </row>
    <row r="13" spans="1:9" x14ac:dyDescent="0.35">
      <c r="A13" s="16" t="s">
        <v>62</v>
      </c>
      <c r="B13" s="17"/>
      <c r="C13" s="17"/>
      <c r="D13" s="18">
        <f>2800</f>
        <v>2800</v>
      </c>
      <c r="E13" s="18">
        <f>125294.71</f>
        <v>125294.71</v>
      </c>
      <c r="F13" s="18">
        <f>-128094.71</f>
        <v>-128094.71</v>
      </c>
      <c r="G13" s="17"/>
      <c r="H13" s="17"/>
      <c r="I13" s="18">
        <f t="shared" si="0"/>
        <v>0</v>
      </c>
    </row>
    <row r="14" spans="1:9" x14ac:dyDescent="0.35">
      <c r="A14" s="16" t="s">
        <v>63</v>
      </c>
      <c r="B14" s="18">
        <f>10000</f>
        <v>10000</v>
      </c>
      <c r="C14" s="18">
        <f>5000</f>
        <v>5000</v>
      </c>
      <c r="D14" s="18">
        <f>25000</f>
        <v>25000</v>
      </c>
      <c r="E14" s="18">
        <f>5000</f>
        <v>5000</v>
      </c>
      <c r="F14" s="18">
        <f>31000</f>
        <v>31000</v>
      </c>
      <c r="G14" s="17"/>
      <c r="H14" s="18">
        <f>3000</f>
        <v>3000</v>
      </c>
      <c r="I14" s="18">
        <f t="shared" si="0"/>
        <v>79000</v>
      </c>
    </row>
    <row r="15" spans="1:9" x14ac:dyDescent="0.35">
      <c r="A15" s="16" t="s">
        <v>64</v>
      </c>
      <c r="B15" s="17"/>
      <c r="C15" s="18">
        <f>3325</f>
        <v>3325</v>
      </c>
      <c r="D15" s="18">
        <f>27900</f>
        <v>27900</v>
      </c>
      <c r="E15" s="18">
        <f>2875</f>
        <v>2875</v>
      </c>
      <c r="F15" s="18">
        <f>11425</f>
        <v>11425</v>
      </c>
      <c r="G15" s="17"/>
      <c r="H15" s="17"/>
      <c r="I15" s="18">
        <f t="shared" si="0"/>
        <v>45525</v>
      </c>
    </row>
    <row r="16" spans="1:9" x14ac:dyDescent="0.35">
      <c r="A16" s="16" t="s">
        <v>65</v>
      </c>
      <c r="B16" s="17"/>
      <c r="C16" s="17"/>
      <c r="D16" s="17"/>
      <c r="E16" s="17"/>
      <c r="F16" s="18">
        <f>62236</f>
        <v>62236</v>
      </c>
      <c r="G16" s="17"/>
      <c r="H16" s="17"/>
      <c r="I16" s="18">
        <f t="shared" si="0"/>
        <v>62236</v>
      </c>
    </row>
    <row r="17" spans="1:9" x14ac:dyDescent="0.35">
      <c r="A17" s="16" t="s">
        <v>66</v>
      </c>
      <c r="B17" s="17"/>
      <c r="C17" s="17"/>
      <c r="D17" s="18">
        <f>2630</f>
        <v>2630</v>
      </c>
      <c r="E17" s="18">
        <f>13785</f>
        <v>13785</v>
      </c>
      <c r="F17" s="18">
        <f>241650</f>
        <v>241650</v>
      </c>
      <c r="G17" s="18">
        <f>497.98</f>
        <v>497.98</v>
      </c>
      <c r="H17" s="17"/>
      <c r="I17" s="18">
        <f t="shared" si="0"/>
        <v>258562.98</v>
      </c>
    </row>
    <row r="18" spans="1:9" x14ac:dyDescent="0.35">
      <c r="A18" s="16" t="s">
        <v>67</v>
      </c>
      <c r="B18" s="17"/>
      <c r="C18" s="17"/>
      <c r="D18" s="17"/>
      <c r="E18" s="17"/>
      <c r="F18" s="18">
        <f>1850</f>
        <v>1850</v>
      </c>
      <c r="G18" s="17"/>
      <c r="H18" s="17"/>
      <c r="I18" s="18">
        <f t="shared" si="0"/>
        <v>1850</v>
      </c>
    </row>
    <row r="19" spans="1:9" x14ac:dyDescent="0.35">
      <c r="A19" s="16" t="s">
        <v>148</v>
      </c>
      <c r="B19" s="17"/>
      <c r="C19" s="17"/>
      <c r="D19" s="17"/>
      <c r="E19" s="17"/>
      <c r="F19" s="18">
        <f>52396</f>
        <v>52396</v>
      </c>
      <c r="G19" s="17"/>
      <c r="H19" s="17"/>
      <c r="I19" s="18">
        <f t="shared" si="0"/>
        <v>52396</v>
      </c>
    </row>
    <row r="20" spans="1:9" x14ac:dyDescent="0.35">
      <c r="A20" s="16" t="s">
        <v>68</v>
      </c>
      <c r="B20" s="19">
        <f t="shared" ref="B20:H20" si="3">((((((B13)+(B14))+(B15))+(B16))+(B17))+(B18))+(B19)</f>
        <v>10000</v>
      </c>
      <c r="C20" s="19">
        <f t="shared" si="3"/>
        <v>8325</v>
      </c>
      <c r="D20" s="19">
        <f t="shared" si="3"/>
        <v>58330</v>
      </c>
      <c r="E20" s="19">
        <f t="shared" si="3"/>
        <v>146954.71000000002</v>
      </c>
      <c r="F20" s="19">
        <f t="shared" si="3"/>
        <v>272462.28999999998</v>
      </c>
      <c r="G20" s="19">
        <f t="shared" si="3"/>
        <v>497.98</v>
      </c>
      <c r="H20" s="19">
        <f t="shared" si="3"/>
        <v>3000</v>
      </c>
      <c r="I20" s="19">
        <f t="shared" si="0"/>
        <v>499569.98</v>
      </c>
    </row>
    <row r="21" spans="1:9" x14ac:dyDescent="0.35">
      <c r="A21" s="16" t="s">
        <v>134</v>
      </c>
      <c r="B21" s="17"/>
      <c r="C21" s="17"/>
      <c r="D21" s="17"/>
      <c r="E21" s="17"/>
      <c r="F21" s="17"/>
      <c r="G21" s="17"/>
      <c r="H21" s="17"/>
      <c r="I21" s="18">
        <f t="shared" si="0"/>
        <v>0</v>
      </c>
    </row>
    <row r="22" spans="1:9" x14ac:dyDescent="0.35">
      <c r="A22" s="16" t="s">
        <v>135</v>
      </c>
      <c r="B22" s="18">
        <f>159.63</f>
        <v>159.63</v>
      </c>
      <c r="C22" s="18">
        <f>141.28</f>
        <v>141.28</v>
      </c>
      <c r="D22" s="18">
        <f>162.69</f>
        <v>162.69</v>
      </c>
      <c r="E22" s="18">
        <f>152.17</f>
        <v>152.16999999999999</v>
      </c>
      <c r="F22" s="18">
        <f>208.42</f>
        <v>208.42</v>
      </c>
      <c r="G22" s="18">
        <f>234.6</f>
        <v>234.6</v>
      </c>
      <c r="H22" s="18">
        <f>14.86</f>
        <v>14.86</v>
      </c>
      <c r="I22" s="18">
        <f t="shared" si="0"/>
        <v>1073.6499999999999</v>
      </c>
    </row>
    <row r="23" spans="1:9" x14ac:dyDescent="0.35">
      <c r="A23" s="16" t="s">
        <v>136</v>
      </c>
      <c r="B23" s="19">
        <f t="shared" ref="B23:H23" si="4">(B21)+(B22)</f>
        <v>159.63</v>
      </c>
      <c r="C23" s="19">
        <f t="shared" si="4"/>
        <v>141.28</v>
      </c>
      <c r="D23" s="19">
        <f t="shared" si="4"/>
        <v>162.69</v>
      </c>
      <c r="E23" s="19">
        <f t="shared" si="4"/>
        <v>152.16999999999999</v>
      </c>
      <c r="F23" s="19">
        <f t="shared" si="4"/>
        <v>208.42</v>
      </c>
      <c r="G23" s="19">
        <f t="shared" si="4"/>
        <v>234.6</v>
      </c>
      <c r="H23" s="19">
        <f t="shared" si="4"/>
        <v>14.86</v>
      </c>
      <c r="I23" s="19">
        <f t="shared" si="0"/>
        <v>1073.6499999999999</v>
      </c>
    </row>
    <row r="24" spans="1:9" x14ac:dyDescent="0.35">
      <c r="A24" s="16" t="s">
        <v>149</v>
      </c>
      <c r="B24" s="17"/>
      <c r="C24" s="17"/>
      <c r="D24" s="17"/>
      <c r="E24" s="17"/>
      <c r="F24" s="17"/>
      <c r="G24" s="17"/>
      <c r="H24" s="17"/>
      <c r="I24" s="18">
        <f t="shared" si="0"/>
        <v>0</v>
      </c>
    </row>
    <row r="25" spans="1:9" x14ac:dyDescent="0.35">
      <c r="A25" s="16" t="s">
        <v>150</v>
      </c>
      <c r="B25" s="17"/>
      <c r="C25" s="17"/>
      <c r="D25" s="17"/>
      <c r="E25" s="17"/>
      <c r="F25" s="17"/>
      <c r="G25" s="18">
        <f>70000</f>
        <v>70000</v>
      </c>
      <c r="H25" s="17"/>
      <c r="I25" s="18">
        <f t="shared" si="0"/>
        <v>70000</v>
      </c>
    </row>
    <row r="26" spans="1:9" x14ac:dyDescent="0.35">
      <c r="A26" s="16" t="s">
        <v>151</v>
      </c>
      <c r="B26" s="19">
        <f t="shared" ref="B26:H26" si="5">(B24)+(B25)</f>
        <v>0</v>
      </c>
      <c r="C26" s="19">
        <f t="shared" si="5"/>
        <v>0</v>
      </c>
      <c r="D26" s="19">
        <f t="shared" si="5"/>
        <v>0</v>
      </c>
      <c r="E26" s="19">
        <f t="shared" si="5"/>
        <v>0</v>
      </c>
      <c r="F26" s="19">
        <f t="shared" si="5"/>
        <v>0</v>
      </c>
      <c r="G26" s="19">
        <f t="shared" si="5"/>
        <v>70000</v>
      </c>
      <c r="H26" s="19">
        <f t="shared" si="5"/>
        <v>0</v>
      </c>
      <c r="I26" s="19">
        <f t="shared" si="0"/>
        <v>70000</v>
      </c>
    </row>
    <row r="27" spans="1:9" x14ac:dyDescent="0.35">
      <c r="A27" s="16" t="s">
        <v>5</v>
      </c>
      <c r="B27" s="19">
        <f t="shared" ref="B27:H27" si="6">((((B9)+(B12))+(B20))+(B23))+(B26)</f>
        <v>42319.139999999992</v>
      </c>
      <c r="C27" s="19">
        <f t="shared" si="6"/>
        <v>11271.01</v>
      </c>
      <c r="D27" s="19">
        <f t="shared" si="6"/>
        <v>127571.64</v>
      </c>
      <c r="E27" s="19">
        <f t="shared" si="6"/>
        <v>155978.91000000003</v>
      </c>
      <c r="F27" s="19">
        <f t="shared" si="6"/>
        <v>277637.15999999997</v>
      </c>
      <c r="G27" s="19">
        <f t="shared" si="6"/>
        <v>113243.47</v>
      </c>
      <c r="H27" s="19">
        <f t="shared" si="6"/>
        <v>5072.6899999999996</v>
      </c>
      <c r="I27" s="19">
        <f t="shared" si="0"/>
        <v>733094.0199999999</v>
      </c>
    </row>
    <row r="28" spans="1:9" x14ac:dyDescent="0.35">
      <c r="A28" s="16" t="s">
        <v>20</v>
      </c>
      <c r="B28" s="19">
        <f t="shared" ref="B28:H28" si="7">(B27)-(0)</f>
        <v>42319.139999999992</v>
      </c>
      <c r="C28" s="19">
        <f t="shared" si="7"/>
        <v>11271.01</v>
      </c>
      <c r="D28" s="19">
        <f t="shared" si="7"/>
        <v>127571.64</v>
      </c>
      <c r="E28" s="19">
        <f t="shared" si="7"/>
        <v>155978.91000000003</v>
      </c>
      <c r="F28" s="19">
        <f t="shared" si="7"/>
        <v>277637.15999999997</v>
      </c>
      <c r="G28" s="19">
        <f t="shared" si="7"/>
        <v>113243.47</v>
      </c>
      <c r="H28" s="19">
        <f t="shared" si="7"/>
        <v>5072.6899999999996</v>
      </c>
      <c r="I28" s="19">
        <f t="shared" si="0"/>
        <v>733094.0199999999</v>
      </c>
    </row>
    <row r="29" spans="1:9" x14ac:dyDescent="0.35">
      <c r="A29" s="16" t="s">
        <v>21</v>
      </c>
      <c r="B29" s="17"/>
      <c r="C29" s="17"/>
      <c r="D29" s="17"/>
      <c r="E29" s="17"/>
      <c r="F29" s="17"/>
      <c r="G29" s="17"/>
      <c r="H29" s="17"/>
      <c r="I29" s="17"/>
    </row>
    <row r="30" spans="1:9" x14ac:dyDescent="0.35">
      <c r="A30" s="16" t="s">
        <v>69</v>
      </c>
      <c r="B30" s="17"/>
      <c r="C30" s="17"/>
      <c r="D30" s="17"/>
      <c r="E30" s="17"/>
      <c r="F30" s="17"/>
      <c r="G30" s="17"/>
      <c r="H30" s="17"/>
      <c r="I30" s="18">
        <f t="shared" ref="I30:I91" si="8">((((((B30)+(C30))+(D30))+(E30))+(F30))+(G30))+(H30)</f>
        <v>0</v>
      </c>
    </row>
    <row r="31" spans="1:9" x14ac:dyDescent="0.35">
      <c r="A31" s="16" t="s">
        <v>70</v>
      </c>
      <c r="B31" s="18">
        <f>16173.1</f>
        <v>16173.1</v>
      </c>
      <c r="C31" s="18">
        <f>18115.4</f>
        <v>18115.400000000001</v>
      </c>
      <c r="D31" s="18">
        <f>29403.83</f>
        <v>29403.83</v>
      </c>
      <c r="E31" s="18">
        <f>23365.38</f>
        <v>23365.38</v>
      </c>
      <c r="F31" s="18">
        <f>29124.88</f>
        <v>29124.880000000001</v>
      </c>
      <c r="G31" s="18">
        <f>30712.08</f>
        <v>30712.080000000002</v>
      </c>
      <c r="H31" s="18">
        <f>30354.24</f>
        <v>30354.240000000002</v>
      </c>
      <c r="I31" s="18">
        <f t="shared" si="8"/>
        <v>177248.91</v>
      </c>
    </row>
    <row r="32" spans="1:9" x14ac:dyDescent="0.35">
      <c r="A32" s="16" t="s">
        <v>71</v>
      </c>
      <c r="B32" s="18">
        <f>1225.66</f>
        <v>1225.6600000000001</v>
      </c>
      <c r="C32" s="18">
        <f>1374.24</f>
        <v>1374.24</v>
      </c>
      <c r="D32" s="18">
        <f>2237.8</f>
        <v>2237.8000000000002</v>
      </c>
      <c r="E32" s="18">
        <f>1775.86</f>
        <v>1775.86</v>
      </c>
      <c r="F32" s="18">
        <f>2216.48</f>
        <v>2216.48</v>
      </c>
      <c r="G32" s="18">
        <f>2337.92</f>
        <v>2337.92</v>
      </c>
      <c r="H32" s="18">
        <f>2305.51</f>
        <v>2305.5100000000002</v>
      </c>
      <c r="I32" s="18">
        <f t="shared" si="8"/>
        <v>13473.470000000001</v>
      </c>
    </row>
    <row r="33" spans="1:9" x14ac:dyDescent="0.35">
      <c r="A33" s="16" t="s">
        <v>72</v>
      </c>
      <c r="B33" s="18">
        <f>97.01</f>
        <v>97.01</v>
      </c>
      <c r="C33" s="18">
        <f>65.46</f>
        <v>65.459999999999994</v>
      </c>
      <c r="D33" s="18">
        <f>81.32</f>
        <v>81.319999999999993</v>
      </c>
      <c r="E33" s="18">
        <f>45.37</f>
        <v>45.37</v>
      </c>
      <c r="F33" s="18">
        <f>66.4</f>
        <v>66.400000000000006</v>
      </c>
      <c r="G33" s="18">
        <f>57.45</f>
        <v>57.45</v>
      </c>
      <c r="H33" s="18">
        <f>44.62</f>
        <v>44.62</v>
      </c>
      <c r="I33" s="18">
        <f t="shared" si="8"/>
        <v>457.62999999999994</v>
      </c>
    </row>
    <row r="34" spans="1:9" x14ac:dyDescent="0.35">
      <c r="A34" s="16" t="s">
        <v>73</v>
      </c>
      <c r="B34" s="18">
        <f>856.85</f>
        <v>856.85</v>
      </c>
      <c r="C34" s="18">
        <f>856.85</f>
        <v>856.85</v>
      </c>
      <c r="D34" s="18">
        <f>2151.85</f>
        <v>2151.85</v>
      </c>
      <c r="E34" s="18">
        <f>2167.73</f>
        <v>2167.73</v>
      </c>
      <c r="F34" s="18">
        <f>1293.81</f>
        <v>1293.81</v>
      </c>
      <c r="G34" s="18">
        <f>1293.81</f>
        <v>1293.81</v>
      </c>
      <c r="H34" s="18">
        <f>989.39</f>
        <v>989.39</v>
      </c>
      <c r="I34" s="18">
        <f t="shared" si="8"/>
        <v>9610.2899999999991</v>
      </c>
    </row>
    <row r="35" spans="1:9" x14ac:dyDescent="0.35">
      <c r="A35" s="16" t="s">
        <v>74</v>
      </c>
      <c r="B35" s="18">
        <f>475</f>
        <v>475</v>
      </c>
      <c r="C35" s="17"/>
      <c r="D35" s="18">
        <f>840</f>
        <v>840</v>
      </c>
      <c r="E35" s="17"/>
      <c r="F35" s="17"/>
      <c r="G35" s="18">
        <f>89</f>
        <v>89</v>
      </c>
      <c r="H35" s="18">
        <f>199</f>
        <v>199</v>
      </c>
      <c r="I35" s="18">
        <f t="shared" si="8"/>
        <v>1603</v>
      </c>
    </row>
    <row r="36" spans="1:9" x14ac:dyDescent="0.35">
      <c r="A36" s="16" t="s">
        <v>75</v>
      </c>
      <c r="B36" s="19">
        <f t="shared" ref="B36:H36" si="9">(((((B30)+(B31))+(B32))+(B33))+(B34))+(B35)</f>
        <v>18827.62</v>
      </c>
      <c r="C36" s="19">
        <f t="shared" si="9"/>
        <v>20411.95</v>
      </c>
      <c r="D36" s="19">
        <f t="shared" si="9"/>
        <v>34714.800000000003</v>
      </c>
      <c r="E36" s="19">
        <f t="shared" si="9"/>
        <v>27354.34</v>
      </c>
      <c r="F36" s="19">
        <f t="shared" si="9"/>
        <v>32701.570000000003</v>
      </c>
      <c r="G36" s="19">
        <f t="shared" si="9"/>
        <v>34490.259999999995</v>
      </c>
      <c r="H36" s="19">
        <f t="shared" si="9"/>
        <v>33892.76</v>
      </c>
      <c r="I36" s="19">
        <f t="shared" si="8"/>
        <v>202393.3</v>
      </c>
    </row>
    <row r="37" spans="1:9" x14ac:dyDescent="0.35">
      <c r="A37" s="16" t="s">
        <v>76</v>
      </c>
      <c r="B37" s="17"/>
      <c r="C37" s="17"/>
      <c r="D37" s="17"/>
      <c r="E37" s="17"/>
      <c r="F37" s="17"/>
      <c r="G37" s="17"/>
      <c r="H37" s="17"/>
      <c r="I37" s="18">
        <f t="shared" si="8"/>
        <v>0</v>
      </c>
    </row>
    <row r="38" spans="1:9" x14ac:dyDescent="0.35">
      <c r="A38" s="16" t="s">
        <v>140</v>
      </c>
      <c r="B38" s="17"/>
      <c r="C38" s="17"/>
      <c r="D38" s="17"/>
      <c r="E38" s="17"/>
      <c r="F38" s="17"/>
      <c r="G38" s="18">
        <f>200</f>
        <v>200</v>
      </c>
      <c r="H38" s="17"/>
      <c r="I38" s="18">
        <f t="shared" si="8"/>
        <v>200</v>
      </c>
    </row>
    <row r="39" spans="1:9" x14ac:dyDescent="0.35">
      <c r="A39" s="16" t="s">
        <v>77</v>
      </c>
      <c r="B39" s="18">
        <f>11900</f>
        <v>11900</v>
      </c>
      <c r="C39" s="18">
        <f>1519.92</f>
        <v>1519.92</v>
      </c>
      <c r="D39" s="18">
        <f>1174.92</f>
        <v>1174.92</v>
      </c>
      <c r="E39" s="18">
        <f>1364.55</f>
        <v>1364.55</v>
      </c>
      <c r="F39" s="18">
        <f>75</f>
        <v>75</v>
      </c>
      <c r="G39" s="18">
        <f>4000</f>
        <v>4000</v>
      </c>
      <c r="H39" s="18">
        <f>0</f>
        <v>0</v>
      </c>
      <c r="I39" s="18">
        <f t="shared" si="8"/>
        <v>20034.39</v>
      </c>
    </row>
    <row r="40" spans="1:9" x14ac:dyDescent="0.35">
      <c r="A40" s="16" t="s">
        <v>141</v>
      </c>
      <c r="B40" s="17"/>
      <c r="C40" s="17"/>
      <c r="D40" s="18">
        <f>190</f>
        <v>190</v>
      </c>
      <c r="E40" s="17"/>
      <c r="F40" s="17"/>
      <c r="G40" s="17"/>
      <c r="H40" s="18">
        <f>0</f>
        <v>0</v>
      </c>
      <c r="I40" s="18">
        <f t="shared" si="8"/>
        <v>190</v>
      </c>
    </row>
    <row r="41" spans="1:9" x14ac:dyDescent="0.35">
      <c r="A41" s="16" t="s">
        <v>78</v>
      </c>
      <c r="B41" s="18">
        <f>3152.83</f>
        <v>3152.83</v>
      </c>
      <c r="C41" s="18">
        <f>5503</f>
        <v>5503</v>
      </c>
      <c r="D41" s="18">
        <f>2690.26</f>
        <v>2690.26</v>
      </c>
      <c r="E41" s="18">
        <f>2951.63</f>
        <v>2951.63</v>
      </c>
      <c r="F41" s="18">
        <f>2500.27</f>
        <v>2500.27</v>
      </c>
      <c r="G41" s="18">
        <f>4915.12</f>
        <v>4915.12</v>
      </c>
      <c r="H41" s="18">
        <f>2479.87</f>
        <v>2479.87</v>
      </c>
      <c r="I41" s="18">
        <f t="shared" si="8"/>
        <v>24192.98</v>
      </c>
    </row>
    <row r="42" spans="1:9" x14ac:dyDescent="0.35">
      <c r="A42" s="16" t="s">
        <v>79</v>
      </c>
      <c r="B42" s="18">
        <f>409</f>
        <v>409</v>
      </c>
      <c r="C42" s="18">
        <f>275.5</f>
        <v>275.5</v>
      </c>
      <c r="D42" s="18">
        <f>306</f>
        <v>306</v>
      </c>
      <c r="E42" s="18">
        <f>219</f>
        <v>219</v>
      </c>
      <c r="F42" s="18">
        <f>-196</f>
        <v>-196</v>
      </c>
      <c r="G42" s="18">
        <f>221.5</f>
        <v>221.5</v>
      </c>
      <c r="H42" s="18">
        <f>232.25</f>
        <v>232.25</v>
      </c>
      <c r="I42" s="18">
        <f t="shared" si="8"/>
        <v>1467.25</v>
      </c>
    </row>
    <row r="43" spans="1:9" x14ac:dyDescent="0.35">
      <c r="A43" s="16" t="s">
        <v>80</v>
      </c>
      <c r="B43" s="19">
        <f t="shared" ref="B43:H43" si="10">(((((B37)+(B38))+(B39))+(B40))+(B41))+(B42)</f>
        <v>15461.83</v>
      </c>
      <c r="C43" s="19">
        <f t="shared" si="10"/>
        <v>7298.42</v>
      </c>
      <c r="D43" s="19">
        <f t="shared" si="10"/>
        <v>4361.18</v>
      </c>
      <c r="E43" s="19">
        <f t="shared" si="10"/>
        <v>4535.18</v>
      </c>
      <c r="F43" s="19">
        <f t="shared" si="10"/>
        <v>2379.27</v>
      </c>
      <c r="G43" s="19">
        <f t="shared" si="10"/>
        <v>9336.619999999999</v>
      </c>
      <c r="H43" s="19">
        <f t="shared" si="10"/>
        <v>2712.12</v>
      </c>
      <c r="I43" s="19">
        <f t="shared" si="8"/>
        <v>46084.62</v>
      </c>
    </row>
    <row r="44" spans="1:9" x14ac:dyDescent="0.35">
      <c r="A44" s="16" t="s">
        <v>81</v>
      </c>
      <c r="B44" s="17"/>
      <c r="C44" s="17"/>
      <c r="D44" s="17"/>
      <c r="E44" s="17"/>
      <c r="F44" s="17"/>
      <c r="G44" s="17"/>
      <c r="H44" s="17"/>
      <c r="I44" s="18">
        <f t="shared" si="8"/>
        <v>0</v>
      </c>
    </row>
    <row r="45" spans="1:9" x14ac:dyDescent="0.35">
      <c r="A45" s="16" t="s">
        <v>82</v>
      </c>
      <c r="B45" s="18">
        <f>8100</f>
        <v>8100</v>
      </c>
      <c r="C45" s="18">
        <f>20000</f>
        <v>20000</v>
      </c>
      <c r="D45" s="17"/>
      <c r="E45" s="17"/>
      <c r="F45" s="18">
        <f>1300</f>
        <v>1300</v>
      </c>
      <c r="G45" s="17"/>
      <c r="H45" s="17"/>
      <c r="I45" s="18">
        <f t="shared" si="8"/>
        <v>29400</v>
      </c>
    </row>
    <row r="46" spans="1:9" x14ac:dyDescent="0.35">
      <c r="A46" s="16" t="s">
        <v>83</v>
      </c>
      <c r="B46" s="17"/>
      <c r="C46" s="17"/>
      <c r="D46" s="17"/>
      <c r="E46" s="17"/>
      <c r="F46" s="18">
        <f>121783</f>
        <v>121783</v>
      </c>
      <c r="G46" s="17"/>
      <c r="H46" s="17"/>
      <c r="I46" s="18">
        <f t="shared" si="8"/>
        <v>121783</v>
      </c>
    </row>
    <row r="47" spans="1:9" x14ac:dyDescent="0.35">
      <c r="A47" s="16" t="s">
        <v>139</v>
      </c>
      <c r="B47" s="17"/>
      <c r="C47" s="17"/>
      <c r="D47" s="18">
        <f>-1465</f>
        <v>-1465</v>
      </c>
      <c r="E47" s="17"/>
      <c r="F47" s="17"/>
      <c r="G47" s="17"/>
      <c r="H47" s="17"/>
      <c r="I47" s="18">
        <f t="shared" si="8"/>
        <v>-1465</v>
      </c>
    </row>
    <row r="48" spans="1:9" x14ac:dyDescent="0.35">
      <c r="A48" s="16" t="s">
        <v>84</v>
      </c>
      <c r="B48" s="18">
        <f>-20</f>
        <v>-20</v>
      </c>
      <c r="C48" s="17"/>
      <c r="D48" s="18">
        <f>36</f>
        <v>36</v>
      </c>
      <c r="E48" s="18">
        <f>10</f>
        <v>10</v>
      </c>
      <c r="F48" s="18">
        <f>19</f>
        <v>19</v>
      </c>
      <c r="G48" s="18">
        <f>298.01</f>
        <v>298.01</v>
      </c>
      <c r="H48" s="18">
        <f>4</f>
        <v>4</v>
      </c>
      <c r="I48" s="18">
        <f t="shared" si="8"/>
        <v>347.01</v>
      </c>
    </row>
    <row r="49" spans="1:9" x14ac:dyDescent="0.35">
      <c r="A49" s="16" t="s">
        <v>85</v>
      </c>
      <c r="B49" s="18">
        <f>26.22</f>
        <v>26.22</v>
      </c>
      <c r="C49" s="18">
        <f>47.11</f>
        <v>47.11</v>
      </c>
      <c r="D49" s="18">
        <f>247.81</f>
        <v>247.81</v>
      </c>
      <c r="E49" s="18">
        <f>148.01</f>
        <v>148.01</v>
      </c>
      <c r="F49" s="18">
        <f>654.44</f>
        <v>654.44000000000005</v>
      </c>
      <c r="G49" s="18">
        <f>1453.01</f>
        <v>1453.01</v>
      </c>
      <c r="H49" s="18">
        <f>172.34</f>
        <v>172.34</v>
      </c>
      <c r="I49" s="18">
        <f t="shared" si="8"/>
        <v>2748.9400000000005</v>
      </c>
    </row>
    <row r="50" spans="1:9" x14ac:dyDescent="0.35">
      <c r="A50" s="16" t="s">
        <v>142</v>
      </c>
      <c r="B50" s="17"/>
      <c r="C50" s="17"/>
      <c r="D50" s="17"/>
      <c r="E50" s="17"/>
      <c r="F50" s="18">
        <f>779.8</f>
        <v>779.8</v>
      </c>
      <c r="G50" s="18">
        <f>356.54</f>
        <v>356.54</v>
      </c>
      <c r="H50" s="18">
        <f>-313.72</f>
        <v>-313.72000000000003</v>
      </c>
      <c r="I50" s="18">
        <f t="shared" si="8"/>
        <v>822.61999999999989</v>
      </c>
    </row>
    <row r="51" spans="1:9" x14ac:dyDescent="0.35">
      <c r="A51" s="16" t="s">
        <v>86</v>
      </c>
      <c r="B51" s="19">
        <f t="shared" ref="B51:H51" si="11">((((((B44)+(B45))+(B46))+(B47))+(B48))+(B49))+(B50)</f>
        <v>8106.22</v>
      </c>
      <c r="C51" s="19">
        <f t="shared" si="11"/>
        <v>20047.11</v>
      </c>
      <c r="D51" s="19">
        <f t="shared" si="11"/>
        <v>-1181.19</v>
      </c>
      <c r="E51" s="19">
        <f t="shared" si="11"/>
        <v>158.01</v>
      </c>
      <c r="F51" s="19">
        <f t="shared" si="11"/>
        <v>124536.24</v>
      </c>
      <c r="G51" s="19">
        <f t="shared" si="11"/>
        <v>2107.56</v>
      </c>
      <c r="H51" s="19">
        <f t="shared" si="11"/>
        <v>-137.38000000000002</v>
      </c>
      <c r="I51" s="19">
        <f t="shared" si="8"/>
        <v>153636.57</v>
      </c>
    </row>
    <row r="52" spans="1:9" ht="22" x14ac:dyDescent="0.35">
      <c r="A52" s="16" t="s">
        <v>87</v>
      </c>
      <c r="B52" s="17"/>
      <c r="C52" s="17"/>
      <c r="D52" s="17"/>
      <c r="E52" s="17"/>
      <c r="F52" s="17"/>
      <c r="G52" s="17"/>
      <c r="H52" s="17"/>
      <c r="I52" s="18">
        <f t="shared" si="8"/>
        <v>0</v>
      </c>
    </row>
    <row r="53" spans="1:9" x14ac:dyDescent="0.35">
      <c r="A53" s="16" t="s">
        <v>88</v>
      </c>
      <c r="B53" s="17"/>
      <c r="C53" s="17"/>
      <c r="D53" s="18">
        <f>0</f>
        <v>0</v>
      </c>
      <c r="E53" s="18">
        <f>102</f>
        <v>102</v>
      </c>
      <c r="F53" s="17"/>
      <c r="G53" s="17"/>
      <c r="H53" s="17"/>
      <c r="I53" s="18">
        <f t="shared" si="8"/>
        <v>102</v>
      </c>
    </row>
    <row r="54" spans="1:9" x14ac:dyDescent="0.35">
      <c r="A54" s="16" t="s">
        <v>89</v>
      </c>
      <c r="B54" s="17"/>
      <c r="C54" s="17"/>
      <c r="D54" s="17"/>
      <c r="E54" s="18">
        <f>93498.57</f>
        <v>93498.57</v>
      </c>
      <c r="F54" s="18">
        <f>120</f>
        <v>120</v>
      </c>
      <c r="G54" s="18">
        <f>-780.54</f>
        <v>-780.54</v>
      </c>
      <c r="H54" s="17"/>
      <c r="I54" s="18">
        <f t="shared" si="8"/>
        <v>92838.030000000013</v>
      </c>
    </row>
    <row r="55" spans="1:9" x14ac:dyDescent="0.35">
      <c r="A55" s="16" t="s">
        <v>143</v>
      </c>
      <c r="B55" s="17"/>
      <c r="C55" s="17"/>
      <c r="D55" s="17"/>
      <c r="E55" s="17"/>
      <c r="F55" s="18">
        <f>4837.9</f>
        <v>4837.8999999999996</v>
      </c>
      <c r="G55" s="18">
        <f>154.87</f>
        <v>154.87</v>
      </c>
      <c r="H55" s="17"/>
      <c r="I55" s="18">
        <f t="shared" si="8"/>
        <v>4992.7699999999995</v>
      </c>
    </row>
    <row r="56" spans="1:9" x14ac:dyDescent="0.35">
      <c r="A56" s="16" t="s">
        <v>90</v>
      </c>
      <c r="B56" s="17"/>
      <c r="C56" s="17"/>
      <c r="D56" s="18">
        <f>825</f>
        <v>825</v>
      </c>
      <c r="E56" s="18">
        <f>250</f>
        <v>250</v>
      </c>
      <c r="F56" s="18">
        <f>225</f>
        <v>225</v>
      </c>
      <c r="G56" s="17"/>
      <c r="H56" s="17"/>
      <c r="I56" s="18">
        <f t="shared" si="8"/>
        <v>1300</v>
      </c>
    </row>
    <row r="57" spans="1:9" x14ac:dyDescent="0.35">
      <c r="A57" s="16" t="s">
        <v>91</v>
      </c>
      <c r="B57" s="17"/>
      <c r="C57" s="17"/>
      <c r="D57" s="18">
        <f>4750</f>
        <v>4750</v>
      </c>
      <c r="E57" s="18">
        <f>8264.46</f>
        <v>8264.4599999999991</v>
      </c>
      <c r="F57" s="18">
        <f>6750</f>
        <v>6750</v>
      </c>
      <c r="G57" s="17"/>
      <c r="H57" s="17"/>
      <c r="I57" s="18">
        <f t="shared" si="8"/>
        <v>19764.46</v>
      </c>
    </row>
    <row r="58" spans="1:9" x14ac:dyDescent="0.35">
      <c r="A58" s="16" t="s">
        <v>92</v>
      </c>
      <c r="B58" s="17"/>
      <c r="C58" s="17"/>
      <c r="D58" s="17"/>
      <c r="E58" s="17"/>
      <c r="F58" s="18">
        <f>524.63</f>
        <v>524.63</v>
      </c>
      <c r="G58" s="17"/>
      <c r="H58" s="17"/>
      <c r="I58" s="18">
        <f t="shared" si="8"/>
        <v>524.63</v>
      </c>
    </row>
    <row r="59" spans="1:9" x14ac:dyDescent="0.35">
      <c r="A59" s="16" t="s">
        <v>93</v>
      </c>
      <c r="B59" s="17"/>
      <c r="C59" s="17"/>
      <c r="D59" s="18">
        <f>3000</f>
        <v>3000</v>
      </c>
      <c r="E59" s="18">
        <f>16996.08</f>
        <v>16996.080000000002</v>
      </c>
      <c r="F59" s="18">
        <f>25496.5</f>
        <v>25496.5</v>
      </c>
      <c r="G59" s="17"/>
      <c r="H59" s="17"/>
      <c r="I59" s="18">
        <f t="shared" si="8"/>
        <v>45492.58</v>
      </c>
    </row>
    <row r="60" spans="1:9" x14ac:dyDescent="0.35">
      <c r="A60" s="16" t="s">
        <v>94</v>
      </c>
      <c r="B60" s="17"/>
      <c r="C60" s="17"/>
      <c r="D60" s="18">
        <f>951.53</f>
        <v>951.53</v>
      </c>
      <c r="E60" s="17"/>
      <c r="F60" s="17"/>
      <c r="G60" s="18">
        <f>9.6</f>
        <v>9.6</v>
      </c>
      <c r="H60" s="17"/>
      <c r="I60" s="18">
        <f t="shared" si="8"/>
        <v>961.13</v>
      </c>
    </row>
    <row r="61" spans="1:9" x14ac:dyDescent="0.35">
      <c r="A61" s="16" t="s">
        <v>95</v>
      </c>
      <c r="B61" s="17"/>
      <c r="C61" s="17"/>
      <c r="D61" s="18">
        <f>3784</f>
        <v>3784</v>
      </c>
      <c r="E61" s="18">
        <f>2028</f>
        <v>2028</v>
      </c>
      <c r="F61" s="17"/>
      <c r="G61" s="17"/>
      <c r="H61" s="17"/>
      <c r="I61" s="18">
        <f t="shared" si="8"/>
        <v>5812</v>
      </c>
    </row>
    <row r="62" spans="1:9" ht="22" x14ac:dyDescent="0.35">
      <c r="A62" s="16" t="s">
        <v>96</v>
      </c>
      <c r="B62" s="19">
        <f t="shared" ref="B62:H62" si="12">(((((((((B52)+(B53))+(B54))+(B55))+(B56))+(B57))+(B58))+(B59))+(B60))+(B61)</f>
        <v>0</v>
      </c>
      <c r="C62" s="19">
        <f t="shared" si="12"/>
        <v>0</v>
      </c>
      <c r="D62" s="19">
        <f t="shared" si="12"/>
        <v>13310.53</v>
      </c>
      <c r="E62" s="19">
        <f t="shared" si="12"/>
        <v>121139.11</v>
      </c>
      <c r="F62" s="19">
        <f t="shared" si="12"/>
        <v>37954.03</v>
      </c>
      <c r="G62" s="19">
        <f t="shared" si="12"/>
        <v>-616.06999999999994</v>
      </c>
      <c r="H62" s="19">
        <f t="shared" si="12"/>
        <v>0</v>
      </c>
      <c r="I62" s="19">
        <f t="shared" si="8"/>
        <v>171787.6</v>
      </c>
    </row>
    <row r="63" spans="1:9" x14ac:dyDescent="0.35">
      <c r="A63" s="16" t="s">
        <v>97</v>
      </c>
      <c r="B63" s="17"/>
      <c r="C63" s="17"/>
      <c r="D63" s="17"/>
      <c r="E63" s="17"/>
      <c r="F63" s="17"/>
      <c r="G63" s="17"/>
      <c r="H63" s="17"/>
      <c r="I63" s="18">
        <f t="shared" si="8"/>
        <v>0</v>
      </c>
    </row>
    <row r="64" spans="1:9" x14ac:dyDescent="0.35">
      <c r="A64" s="16" t="s">
        <v>98</v>
      </c>
      <c r="B64" s="18">
        <f t="shared" ref="B64:H64" si="13">2224.55</f>
        <v>2224.5500000000002</v>
      </c>
      <c r="C64" s="18">
        <f t="shared" si="13"/>
        <v>2224.5500000000002</v>
      </c>
      <c r="D64" s="18">
        <f t="shared" si="13"/>
        <v>2224.5500000000002</v>
      </c>
      <c r="E64" s="18">
        <f t="shared" si="13"/>
        <v>2224.5500000000002</v>
      </c>
      <c r="F64" s="18">
        <f t="shared" si="13"/>
        <v>2224.5500000000002</v>
      </c>
      <c r="G64" s="18">
        <f t="shared" si="13"/>
        <v>2224.5500000000002</v>
      </c>
      <c r="H64" s="18">
        <f t="shared" si="13"/>
        <v>2224.5500000000002</v>
      </c>
      <c r="I64" s="18">
        <f t="shared" si="8"/>
        <v>15571.849999999999</v>
      </c>
    </row>
    <row r="65" spans="1:9" x14ac:dyDescent="0.35">
      <c r="A65" s="16" t="s">
        <v>99</v>
      </c>
      <c r="B65" s="18">
        <f>921.62</f>
        <v>921.62</v>
      </c>
      <c r="C65" s="18">
        <f>201.91</f>
        <v>201.91</v>
      </c>
      <c r="D65" s="18">
        <f>650.38</f>
        <v>650.38</v>
      </c>
      <c r="E65" s="18">
        <f>1156.13</f>
        <v>1156.1300000000001</v>
      </c>
      <c r="F65" s="18">
        <f>892.49</f>
        <v>892.49</v>
      </c>
      <c r="G65" s="18">
        <f>467.42</f>
        <v>467.42</v>
      </c>
      <c r="H65" s="18">
        <f>674.65</f>
        <v>674.65</v>
      </c>
      <c r="I65" s="18">
        <f t="shared" si="8"/>
        <v>4964.5999999999995</v>
      </c>
    </row>
    <row r="66" spans="1:9" x14ac:dyDescent="0.35">
      <c r="A66" s="16" t="s">
        <v>100</v>
      </c>
      <c r="B66" s="18">
        <f>502.13</f>
        <v>502.13</v>
      </c>
      <c r="C66" s="18">
        <f>528.38</f>
        <v>528.38</v>
      </c>
      <c r="D66" s="18">
        <f>356.08</f>
        <v>356.08</v>
      </c>
      <c r="E66" s="18">
        <f>889.5</f>
        <v>889.5</v>
      </c>
      <c r="F66" s="18">
        <f>628</f>
        <v>628</v>
      </c>
      <c r="G66" s="18">
        <f>3515.5</f>
        <v>3515.5</v>
      </c>
      <c r="H66" s="18">
        <f>1040.5</f>
        <v>1040.5</v>
      </c>
      <c r="I66" s="18">
        <f t="shared" si="8"/>
        <v>7460.09</v>
      </c>
    </row>
    <row r="67" spans="1:9" x14ac:dyDescent="0.35">
      <c r="A67" s="16" t="s">
        <v>159</v>
      </c>
      <c r="B67" s="18">
        <f>405</f>
        <v>405</v>
      </c>
      <c r="C67" s="17"/>
      <c r="D67" s="18">
        <f>303.75</f>
        <v>303.75</v>
      </c>
      <c r="E67" s="18">
        <f>168.75</f>
        <v>168.75</v>
      </c>
      <c r="F67" s="18">
        <f>641.25</f>
        <v>641.25</v>
      </c>
      <c r="G67" s="18">
        <f>1181.25</f>
        <v>1181.25</v>
      </c>
      <c r="H67" s="18">
        <f>101.26</f>
        <v>101.26</v>
      </c>
      <c r="I67" s="18">
        <f t="shared" si="8"/>
        <v>2801.26</v>
      </c>
    </row>
    <row r="68" spans="1:9" x14ac:dyDescent="0.35">
      <c r="A68" s="16" t="s">
        <v>101</v>
      </c>
      <c r="B68" s="17"/>
      <c r="C68" s="18">
        <f>48.11</f>
        <v>48.11</v>
      </c>
      <c r="D68" s="18">
        <f>34.53</f>
        <v>34.53</v>
      </c>
      <c r="E68" s="18">
        <f>82.67</f>
        <v>82.67</v>
      </c>
      <c r="F68" s="18">
        <f>115.27</f>
        <v>115.27</v>
      </c>
      <c r="G68" s="17"/>
      <c r="H68" s="18">
        <f>53.91</f>
        <v>53.91</v>
      </c>
      <c r="I68" s="18">
        <f t="shared" si="8"/>
        <v>334.49</v>
      </c>
    </row>
    <row r="69" spans="1:9" x14ac:dyDescent="0.35">
      <c r="A69" s="16" t="s">
        <v>102</v>
      </c>
      <c r="B69" s="18">
        <f>36.24</f>
        <v>36.24</v>
      </c>
      <c r="C69" s="17"/>
      <c r="D69" s="17"/>
      <c r="E69" s="18">
        <f>94.05</f>
        <v>94.05</v>
      </c>
      <c r="F69" s="18">
        <f>166</f>
        <v>166</v>
      </c>
      <c r="G69" s="18">
        <f>75.3</f>
        <v>75.3</v>
      </c>
      <c r="H69" s="18">
        <f>0</f>
        <v>0</v>
      </c>
      <c r="I69" s="18">
        <f t="shared" si="8"/>
        <v>371.59</v>
      </c>
    </row>
    <row r="70" spans="1:9" x14ac:dyDescent="0.35">
      <c r="A70" s="16" t="s">
        <v>103</v>
      </c>
      <c r="B70" s="18">
        <f>309.46</f>
        <v>309.45999999999998</v>
      </c>
      <c r="C70" s="18">
        <f>58.2</f>
        <v>58.2</v>
      </c>
      <c r="D70" s="17"/>
      <c r="E70" s="17"/>
      <c r="F70" s="17"/>
      <c r="G70" s="18">
        <f>549</f>
        <v>549</v>
      </c>
      <c r="H70" s="18">
        <f>0</f>
        <v>0</v>
      </c>
      <c r="I70" s="18">
        <f t="shared" si="8"/>
        <v>916.66</v>
      </c>
    </row>
    <row r="71" spans="1:9" x14ac:dyDescent="0.35">
      <c r="A71" s="16" t="s">
        <v>104</v>
      </c>
      <c r="B71" s="18">
        <f>184.09</f>
        <v>184.09</v>
      </c>
      <c r="C71" s="18">
        <f>138.6</f>
        <v>138.6</v>
      </c>
      <c r="D71" s="18">
        <f>473.45</f>
        <v>473.45</v>
      </c>
      <c r="E71" s="18">
        <f>531.99</f>
        <v>531.99</v>
      </c>
      <c r="F71" s="18">
        <f>939.35</f>
        <v>939.35</v>
      </c>
      <c r="G71" s="18">
        <f>1330.35</f>
        <v>1330.35</v>
      </c>
      <c r="H71" s="18">
        <f>968.35</f>
        <v>968.35</v>
      </c>
      <c r="I71" s="18">
        <f t="shared" si="8"/>
        <v>4566.18</v>
      </c>
    </row>
    <row r="72" spans="1:9" x14ac:dyDescent="0.35">
      <c r="A72" s="16" t="s">
        <v>105</v>
      </c>
      <c r="B72" s="19">
        <f t="shared" ref="B72:H72" si="14">((((((((B63)+(B64))+(B65))+(B66))+(B67))+(B68))+(B69))+(B70))+(B71)</f>
        <v>4583.09</v>
      </c>
      <c r="C72" s="19">
        <f t="shared" si="14"/>
        <v>3199.75</v>
      </c>
      <c r="D72" s="19">
        <f t="shared" si="14"/>
        <v>4042.7400000000002</v>
      </c>
      <c r="E72" s="19">
        <f t="shared" si="14"/>
        <v>5147.6400000000003</v>
      </c>
      <c r="F72" s="19">
        <f t="shared" si="14"/>
        <v>5606.9100000000008</v>
      </c>
      <c r="G72" s="19">
        <f t="shared" si="14"/>
        <v>9343.3700000000008</v>
      </c>
      <c r="H72" s="19">
        <f t="shared" si="14"/>
        <v>5063.22</v>
      </c>
      <c r="I72" s="19">
        <f t="shared" si="8"/>
        <v>36986.720000000001</v>
      </c>
    </row>
    <row r="73" spans="1:9" x14ac:dyDescent="0.35">
      <c r="A73" s="16" t="s">
        <v>106</v>
      </c>
      <c r="B73" s="17"/>
      <c r="C73" s="17"/>
      <c r="D73" s="17"/>
      <c r="E73" s="17"/>
      <c r="F73" s="17"/>
      <c r="G73" s="17"/>
      <c r="H73" s="17"/>
      <c r="I73" s="18">
        <f t="shared" si="8"/>
        <v>0</v>
      </c>
    </row>
    <row r="74" spans="1:9" x14ac:dyDescent="0.35">
      <c r="A74" s="16" t="s">
        <v>144</v>
      </c>
      <c r="B74" s="17"/>
      <c r="C74" s="17"/>
      <c r="D74" s="18">
        <f>2000</f>
        <v>2000</v>
      </c>
      <c r="E74" s="17"/>
      <c r="F74" s="17"/>
      <c r="G74" s="17"/>
      <c r="H74" s="18">
        <f>6500</f>
        <v>6500</v>
      </c>
      <c r="I74" s="18">
        <f t="shared" si="8"/>
        <v>8500</v>
      </c>
    </row>
    <row r="75" spans="1:9" x14ac:dyDescent="0.35">
      <c r="A75" s="16" t="s">
        <v>107</v>
      </c>
      <c r="B75" s="17"/>
      <c r="C75" s="18">
        <f>337.5</f>
        <v>337.5</v>
      </c>
      <c r="D75" s="18">
        <f>375</f>
        <v>375</v>
      </c>
      <c r="E75" s="17"/>
      <c r="F75" s="18">
        <f>918.75</f>
        <v>918.75</v>
      </c>
      <c r="G75" s="18">
        <f>187.5</f>
        <v>187.5</v>
      </c>
      <c r="H75" s="18">
        <f>37.51</f>
        <v>37.51</v>
      </c>
      <c r="I75" s="18">
        <f t="shared" si="8"/>
        <v>1856.26</v>
      </c>
    </row>
    <row r="76" spans="1:9" x14ac:dyDescent="0.35">
      <c r="A76" s="16" t="s">
        <v>108</v>
      </c>
      <c r="B76" s="18">
        <f>225</f>
        <v>225</v>
      </c>
      <c r="C76" s="18">
        <f>225</f>
        <v>225</v>
      </c>
      <c r="D76" s="18">
        <f>225</f>
        <v>225</v>
      </c>
      <c r="E76" s="18">
        <f>225</f>
        <v>225</v>
      </c>
      <c r="F76" s="18">
        <f>725</f>
        <v>725</v>
      </c>
      <c r="G76" s="18">
        <f>225</f>
        <v>225</v>
      </c>
      <c r="H76" s="18">
        <f>425</f>
        <v>425</v>
      </c>
      <c r="I76" s="18">
        <f t="shared" si="8"/>
        <v>2275</v>
      </c>
    </row>
    <row r="77" spans="1:9" x14ac:dyDescent="0.35">
      <c r="A77" s="16" t="s">
        <v>138</v>
      </c>
      <c r="B77" s="17"/>
      <c r="C77" s="18">
        <f>296.38</f>
        <v>296.38</v>
      </c>
      <c r="D77" s="17"/>
      <c r="E77" s="17"/>
      <c r="F77" s="17"/>
      <c r="G77" s="17"/>
      <c r="H77" s="18">
        <f>-0.01</f>
        <v>-0.01</v>
      </c>
      <c r="I77" s="18">
        <f t="shared" si="8"/>
        <v>296.37</v>
      </c>
    </row>
    <row r="78" spans="1:9" x14ac:dyDescent="0.35">
      <c r="A78" s="16" t="s">
        <v>109</v>
      </c>
      <c r="B78" s="18">
        <f>168.87</f>
        <v>168.87</v>
      </c>
      <c r="C78" s="18">
        <f>263.56</f>
        <v>263.56</v>
      </c>
      <c r="D78" s="18">
        <f>373.82</f>
        <v>373.82</v>
      </c>
      <c r="E78" s="18">
        <f>538.28</f>
        <v>538.28</v>
      </c>
      <c r="F78" s="18">
        <f>114.11</f>
        <v>114.11</v>
      </c>
      <c r="G78" s="18">
        <f>337.75</f>
        <v>337.75</v>
      </c>
      <c r="H78" s="18">
        <f>112.89</f>
        <v>112.89</v>
      </c>
      <c r="I78" s="18">
        <f t="shared" si="8"/>
        <v>1909.28</v>
      </c>
    </row>
    <row r="79" spans="1:9" x14ac:dyDescent="0.35">
      <c r="A79" s="16" t="s">
        <v>110</v>
      </c>
      <c r="B79" s="19">
        <f t="shared" ref="B79:H79" si="15">(((((B73)+(B74))+(B75))+(B76))+(B77))+(B78)</f>
        <v>393.87</v>
      </c>
      <c r="C79" s="19">
        <f t="shared" si="15"/>
        <v>1122.44</v>
      </c>
      <c r="D79" s="19">
        <f t="shared" si="15"/>
        <v>2973.82</v>
      </c>
      <c r="E79" s="19">
        <f t="shared" si="15"/>
        <v>763.28</v>
      </c>
      <c r="F79" s="19">
        <f t="shared" si="15"/>
        <v>1757.86</v>
      </c>
      <c r="G79" s="19">
        <f t="shared" si="15"/>
        <v>750.25</v>
      </c>
      <c r="H79" s="19">
        <f t="shared" si="15"/>
        <v>7075.39</v>
      </c>
      <c r="I79" s="19">
        <f t="shared" si="8"/>
        <v>14836.91</v>
      </c>
    </row>
    <row r="80" spans="1:9" x14ac:dyDescent="0.35">
      <c r="A80" s="16" t="s">
        <v>111</v>
      </c>
      <c r="B80" s="17"/>
      <c r="C80" s="17"/>
      <c r="D80" s="17"/>
      <c r="E80" s="17"/>
      <c r="F80" s="17"/>
      <c r="G80" s="17"/>
      <c r="H80" s="17"/>
      <c r="I80" s="18">
        <f t="shared" si="8"/>
        <v>0</v>
      </c>
    </row>
    <row r="81" spans="1:9" x14ac:dyDescent="0.35">
      <c r="A81" s="16" t="s">
        <v>112</v>
      </c>
      <c r="B81" s="18">
        <f>1181.38</f>
        <v>1181.3800000000001</v>
      </c>
      <c r="C81" s="18">
        <f>126.5</f>
        <v>126.5</v>
      </c>
      <c r="D81" s="18">
        <f>504.5</f>
        <v>504.5</v>
      </c>
      <c r="E81" s="18">
        <f>394.5</f>
        <v>394.5</v>
      </c>
      <c r="F81" s="18">
        <f>185.5</f>
        <v>185.5</v>
      </c>
      <c r="G81" s="18">
        <f>739</f>
        <v>739</v>
      </c>
      <c r="H81" s="18">
        <f>256.5</f>
        <v>256.5</v>
      </c>
      <c r="I81" s="18">
        <f t="shared" si="8"/>
        <v>3387.88</v>
      </c>
    </row>
    <row r="82" spans="1:9" x14ac:dyDescent="0.35">
      <c r="A82" s="16" t="s">
        <v>113</v>
      </c>
      <c r="B82" s="18">
        <f>176.99</f>
        <v>176.99</v>
      </c>
      <c r="C82" s="18">
        <f>269.47</f>
        <v>269.47000000000003</v>
      </c>
      <c r="D82" s="18">
        <f>37.5</f>
        <v>37.5</v>
      </c>
      <c r="E82" s="18">
        <f>36.6</f>
        <v>36.6</v>
      </c>
      <c r="F82" s="18">
        <f>182.95</f>
        <v>182.95</v>
      </c>
      <c r="G82" s="18">
        <f>42.85</f>
        <v>42.85</v>
      </c>
      <c r="H82" s="18">
        <f>75.21</f>
        <v>75.209999999999994</v>
      </c>
      <c r="I82" s="18">
        <f t="shared" si="8"/>
        <v>821.57</v>
      </c>
    </row>
    <row r="83" spans="1:9" x14ac:dyDescent="0.35">
      <c r="A83" s="16" t="s">
        <v>114</v>
      </c>
      <c r="B83" s="18">
        <f>254.6</f>
        <v>254.6</v>
      </c>
      <c r="C83" s="18">
        <f>176.41</f>
        <v>176.41</v>
      </c>
      <c r="D83" s="18">
        <f>381.81</f>
        <v>381.81</v>
      </c>
      <c r="E83" s="18">
        <f>906.98</f>
        <v>906.98</v>
      </c>
      <c r="F83" s="18">
        <f>5473.77</f>
        <v>5473.77</v>
      </c>
      <c r="G83" s="18">
        <f>355.03</f>
        <v>355.03</v>
      </c>
      <c r="H83" s="18">
        <f>169.43</f>
        <v>169.43</v>
      </c>
      <c r="I83" s="18">
        <f t="shared" si="8"/>
        <v>7718.0300000000007</v>
      </c>
    </row>
    <row r="84" spans="1:9" x14ac:dyDescent="0.35">
      <c r="A84" s="16" t="s">
        <v>115</v>
      </c>
      <c r="B84" s="19">
        <f t="shared" ref="B84:H84" si="16">(((B80)+(B81))+(B82))+(B83)</f>
        <v>1612.97</v>
      </c>
      <c r="C84" s="19">
        <f t="shared" si="16"/>
        <v>572.38</v>
      </c>
      <c r="D84" s="19">
        <f t="shared" si="16"/>
        <v>923.81</v>
      </c>
      <c r="E84" s="19">
        <f t="shared" si="16"/>
        <v>1338.08</v>
      </c>
      <c r="F84" s="19">
        <f t="shared" si="16"/>
        <v>5842.22</v>
      </c>
      <c r="G84" s="19">
        <f t="shared" si="16"/>
        <v>1136.8800000000001</v>
      </c>
      <c r="H84" s="19">
        <f t="shared" si="16"/>
        <v>501.14</v>
      </c>
      <c r="I84" s="19">
        <f t="shared" si="8"/>
        <v>11927.48</v>
      </c>
    </row>
    <row r="85" spans="1:9" x14ac:dyDescent="0.35">
      <c r="A85" s="16" t="s">
        <v>116</v>
      </c>
      <c r="B85" s="17"/>
      <c r="C85" s="17"/>
      <c r="D85" s="17"/>
      <c r="E85" s="17"/>
      <c r="F85" s="17"/>
      <c r="G85" s="17"/>
      <c r="H85" s="17"/>
      <c r="I85" s="18">
        <f t="shared" si="8"/>
        <v>0</v>
      </c>
    </row>
    <row r="86" spans="1:9" x14ac:dyDescent="0.35">
      <c r="A86" s="16" t="s">
        <v>117</v>
      </c>
      <c r="B86" s="17"/>
      <c r="C86" s="18">
        <f>15</f>
        <v>15</v>
      </c>
      <c r="D86" s="17"/>
      <c r="E86" s="17"/>
      <c r="F86" s="18">
        <f>481.73</f>
        <v>481.73</v>
      </c>
      <c r="G86" s="18">
        <f>-287.87</f>
        <v>-287.87</v>
      </c>
      <c r="H86" s="18">
        <f>0</f>
        <v>0</v>
      </c>
      <c r="I86" s="18">
        <f t="shared" si="8"/>
        <v>208.86</v>
      </c>
    </row>
    <row r="87" spans="1:9" x14ac:dyDescent="0.35">
      <c r="A87" s="16" t="s">
        <v>118</v>
      </c>
      <c r="B87" s="18">
        <f t="shared" ref="B87:G87" si="17">130.33</f>
        <v>130.33000000000001</v>
      </c>
      <c r="C87" s="18">
        <f t="shared" si="17"/>
        <v>130.33000000000001</v>
      </c>
      <c r="D87" s="18">
        <f t="shared" si="17"/>
        <v>130.33000000000001</v>
      </c>
      <c r="E87" s="18">
        <f t="shared" si="17"/>
        <v>130.33000000000001</v>
      </c>
      <c r="F87" s="18">
        <f t="shared" si="17"/>
        <v>130.33000000000001</v>
      </c>
      <c r="G87" s="18">
        <f t="shared" si="17"/>
        <v>130.33000000000001</v>
      </c>
      <c r="H87" s="18">
        <f>266.43</f>
        <v>266.43</v>
      </c>
      <c r="I87" s="18">
        <f t="shared" si="8"/>
        <v>1048.4100000000001</v>
      </c>
    </row>
    <row r="88" spans="1:9" x14ac:dyDescent="0.35">
      <c r="A88" s="16" t="s">
        <v>160</v>
      </c>
      <c r="B88" s="17"/>
      <c r="C88" s="17"/>
      <c r="D88" s="17"/>
      <c r="E88" s="17"/>
      <c r="F88" s="18">
        <f>48971</f>
        <v>48971</v>
      </c>
      <c r="G88" s="17"/>
      <c r="H88" s="17"/>
      <c r="I88" s="18">
        <f t="shared" si="8"/>
        <v>48971</v>
      </c>
    </row>
    <row r="89" spans="1:9" x14ac:dyDescent="0.35">
      <c r="A89" s="16" t="s">
        <v>119</v>
      </c>
      <c r="B89" s="19">
        <f t="shared" ref="B89:H89" si="18">(((B85)+(B86))+(B87))+(B88)</f>
        <v>130.33000000000001</v>
      </c>
      <c r="C89" s="19">
        <f t="shared" si="18"/>
        <v>145.33000000000001</v>
      </c>
      <c r="D89" s="19">
        <f t="shared" si="18"/>
        <v>130.33000000000001</v>
      </c>
      <c r="E89" s="19">
        <f t="shared" si="18"/>
        <v>130.33000000000001</v>
      </c>
      <c r="F89" s="19">
        <f t="shared" si="18"/>
        <v>49583.06</v>
      </c>
      <c r="G89" s="19">
        <f t="shared" si="18"/>
        <v>-157.54</v>
      </c>
      <c r="H89" s="19">
        <f t="shared" si="18"/>
        <v>266.43</v>
      </c>
      <c r="I89" s="19">
        <f t="shared" si="8"/>
        <v>50228.27</v>
      </c>
    </row>
    <row r="90" spans="1:9" x14ac:dyDescent="0.35">
      <c r="A90" s="16" t="s">
        <v>22</v>
      </c>
      <c r="B90" s="19">
        <f t="shared" ref="B90:H90" si="19">(((((((B36)+(B43))+(B51))+(B62))+(B72))+(B79))+(B84))+(B89)</f>
        <v>49115.93</v>
      </c>
      <c r="C90" s="19">
        <f t="shared" si="19"/>
        <v>52797.380000000005</v>
      </c>
      <c r="D90" s="19">
        <f t="shared" si="19"/>
        <v>59276.02</v>
      </c>
      <c r="E90" s="19">
        <f t="shared" si="19"/>
        <v>160565.97</v>
      </c>
      <c r="F90" s="19">
        <f t="shared" si="19"/>
        <v>260361.16</v>
      </c>
      <c r="G90" s="19">
        <f t="shared" si="19"/>
        <v>56391.329999999987</v>
      </c>
      <c r="H90" s="19">
        <f t="shared" si="19"/>
        <v>49373.680000000008</v>
      </c>
      <c r="I90" s="19">
        <f t="shared" si="8"/>
        <v>687881.47</v>
      </c>
    </row>
    <row r="91" spans="1:9" x14ac:dyDescent="0.35">
      <c r="A91" s="16" t="s">
        <v>23</v>
      </c>
      <c r="B91" s="19">
        <f t="shared" ref="B91:H91" si="20">(B28)-(B90)</f>
        <v>-6796.7900000000081</v>
      </c>
      <c r="C91" s="19">
        <f t="shared" si="20"/>
        <v>-41526.370000000003</v>
      </c>
      <c r="D91" s="19">
        <f t="shared" si="20"/>
        <v>68295.62</v>
      </c>
      <c r="E91" s="19">
        <f t="shared" si="20"/>
        <v>-4587.0599999999686</v>
      </c>
      <c r="F91" s="19">
        <f t="shared" si="20"/>
        <v>17275.999999999971</v>
      </c>
      <c r="G91" s="19">
        <f t="shared" si="20"/>
        <v>56852.140000000014</v>
      </c>
      <c r="H91" s="19">
        <f t="shared" si="20"/>
        <v>-44300.990000000005</v>
      </c>
      <c r="I91" s="19">
        <f t="shared" si="8"/>
        <v>45212.55</v>
      </c>
    </row>
    <row r="92" spans="1:9" x14ac:dyDescent="0.35">
      <c r="A92" s="16" t="s">
        <v>3</v>
      </c>
      <c r="B92" s="17"/>
      <c r="C92" s="17"/>
      <c r="D92" s="17"/>
      <c r="E92" s="17"/>
      <c r="F92" s="17"/>
      <c r="G92" s="17"/>
      <c r="H92" s="17"/>
      <c r="I92" s="17"/>
    </row>
    <row r="93" spans="1:9" x14ac:dyDescent="0.35">
      <c r="A93" s="16" t="s">
        <v>152</v>
      </c>
      <c r="B93" s="17"/>
      <c r="C93" s="17"/>
      <c r="D93" s="17"/>
      <c r="E93" s="17"/>
      <c r="F93" s="17"/>
      <c r="G93" s="17"/>
      <c r="H93" s="17"/>
      <c r="I93" s="18">
        <f t="shared" ref="I93:I98" si="21">((((((B93)+(C93))+(D93))+(E93))+(F93))+(G93))+(H93)</f>
        <v>0</v>
      </c>
    </row>
    <row r="94" spans="1:9" x14ac:dyDescent="0.35">
      <c r="A94" s="16" t="s">
        <v>153</v>
      </c>
      <c r="B94" s="17"/>
      <c r="C94" s="17"/>
      <c r="D94" s="17"/>
      <c r="E94" s="17"/>
      <c r="F94" s="17"/>
      <c r="G94" s="18">
        <f>-70000</f>
        <v>-70000</v>
      </c>
      <c r="H94" s="17"/>
      <c r="I94" s="18">
        <f t="shared" si="21"/>
        <v>-70000</v>
      </c>
    </row>
    <row r="95" spans="1:9" x14ac:dyDescent="0.35">
      <c r="A95" s="16" t="s">
        <v>154</v>
      </c>
      <c r="B95" s="19">
        <f t="shared" ref="B95:H95" si="22">(B93)+(B94)</f>
        <v>0</v>
      </c>
      <c r="C95" s="19">
        <f t="shared" si="22"/>
        <v>0</v>
      </c>
      <c r="D95" s="19">
        <f t="shared" si="22"/>
        <v>0</v>
      </c>
      <c r="E95" s="19">
        <f t="shared" si="22"/>
        <v>0</v>
      </c>
      <c r="F95" s="19">
        <f t="shared" si="22"/>
        <v>0</v>
      </c>
      <c r="G95" s="19">
        <f t="shared" si="22"/>
        <v>-70000</v>
      </c>
      <c r="H95" s="19">
        <f t="shared" si="22"/>
        <v>0</v>
      </c>
      <c r="I95" s="19">
        <f t="shared" si="21"/>
        <v>-70000</v>
      </c>
    </row>
    <row r="96" spans="1:9" x14ac:dyDescent="0.35">
      <c r="A96" s="16" t="s">
        <v>155</v>
      </c>
      <c r="B96" s="19">
        <f t="shared" ref="B96:H96" si="23">B95</f>
        <v>0</v>
      </c>
      <c r="C96" s="19">
        <f t="shared" si="23"/>
        <v>0</v>
      </c>
      <c r="D96" s="19">
        <f t="shared" si="23"/>
        <v>0</v>
      </c>
      <c r="E96" s="19">
        <f t="shared" si="23"/>
        <v>0</v>
      </c>
      <c r="F96" s="19">
        <f t="shared" si="23"/>
        <v>0</v>
      </c>
      <c r="G96" s="19">
        <f t="shared" si="23"/>
        <v>-70000</v>
      </c>
      <c r="H96" s="19">
        <f t="shared" si="23"/>
        <v>0</v>
      </c>
      <c r="I96" s="19">
        <f t="shared" si="21"/>
        <v>-70000</v>
      </c>
    </row>
    <row r="97" spans="1:9" x14ac:dyDescent="0.35">
      <c r="A97" s="16" t="s">
        <v>156</v>
      </c>
      <c r="B97" s="19">
        <f t="shared" ref="B97:H97" si="24">(B96)-(0)</f>
        <v>0</v>
      </c>
      <c r="C97" s="19">
        <f t="shared" si="24"/>
        <v>0</v>
      </c>
      <c r="D97" s="19">
        <f t="shared" si="24"/>
        <v>0</v>
      </c>
      <c r="E97" s="19">
        <f t="shared" si="24"/>
        <v>0</v>
      </c>
      <c r="F97" s="19">
        <f t="shared" si="24"/>
        <v>0</v>
      </c>
      <c r="G97" s="19">
        <f t="shared" si="24"/>
        <v>-70000</v>
      </c>
      <c r="H97" s="19">
        <f t="shared" si="24"/>
        <v>0</v>
      </c>
      <c r="I97" s="19">
        <f t="shared" si="21"/>
        <v>-70000</v>
      </c>
    </row>
    <row r="98" spans="1:9" x14ac:dyDescent="0.35">
      <c r="A98" s="16" t="s">
        <v>24</v>
      </c>
      <c r="B98" s="19">
        <f t="shared" ref="B98:H98" si="25">(B91)+(B97)</f>
        <v>-6796.7900000000081</v>
      </c>
      <c r="C98" s="19">
        <f t="shared" si="25"/>
        <v>-41526.370000000003</v>
      </c>
      <c r="D98" s="19">
        <f t="shared" si="25"/>
        <v>68295.62</v>
      </c>
      <c r="E98" s="19">
        <f t="shared" si="25"/>
        <v>-4587.0599999999686</v>
      </c>
      <c r="F98" s="19">
        <f t="shared" si="25"/>
        <v>17275.999999999971</v>
      </c>
      <c r="G98" s="19">
        <f t="shared" si="25"/>
        <v>-13147.859999999986</v>
      </c>
      <c r="H98" s="19">
        <f t="shared" si="25"/>
        <v>-44300.990000000005</v>
      </c>
      <c r="I98" s="19">
        <f t="shared" si="21"/>
        <v>-24787.450000000004</v>
      </c>
    </row>
    <row r="101" spans="1:9" x14ac:dyDescent="0.35">
      <c r="A101" s="122"/>
      <c r="B101" s="115"/>
      <c r="C101" s="115"/>
      <c r="D101" s="115"/>
      <c r="E101" s="115"/>
      <c r="F101" s="115"/>
      <c r="G101" s="115"/>
      <c r="H101" s="115"/>
    </row>
  </sheetData>
  <mergeCells count="4">
    <mergeCell ref="A101:H101"/>
    <mergeCell ref="A1:I1"/>
    <mergeCell ref="A2:I2"/>
    <mergeCell ref="A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9276-5C79-40E8-8887-1751685D10E5}">
  <sheetPr>
    <tabColor theme="9" tint="0.79998168889431442"/>
  </sheetPr>
  <dimension ref="A1:AS94"/>
  <sheetViews>
    <sheetView topLeftCell="R51" workbookViewId="0">
      <selection activeCell="AP6" sqref="AP6:AS94"/>
    </sheetView>
  </sheetViews>
  <sheetFormatPr defaultRowHeight="14.5" x14ac:dyDescent="0.35"/>
  <cols>
    <col min="1" max="1" width="30.453125" bestFit="1" customWidth="1"/>
    <col min="2" max="3" width="9.81640625" bestFit="1" customWidth="1"/>
    <col min="4" max="5" width="10.453125" bestFit="1" customWidth="1"/>
    <col min="6" max="7" width="10.1796875" bestFit="1" customWidth="1"/>
    <col min="8" max="8" width="10.7265625" bestFit="1" customWidth="1"/>
    <col min="9" max="9" width="8" bestFit="1" customWidth="1"/>
    <col min="30" max="31" width="9.54296875" bestFit="1" customWidth="1"/>
    <col min="32" max="32" width="9.26953125" bestFit="1" customWidth="1"/>
    <col min="33" max="33" width="7.1796875" bestFit="1" customWidth="1"/>
    <col min="34" max="35" width="10.1796875" bestFit="1" customWidth="1"/>
    <col min="36" max="36" width="9.26953125" bestFit="1" customWidth="1"/>
    <col min="37" max="37" width="8" bestFit="1" customWidth="1"/>
    <col min="38" max="39" width="10.453125" bestFit="1" customWidth="1"/>
    <col min="40" max="40" width="9.54296875" bestFit="1" customWidth="1"/>
    <col min="42" max="43" width="10.453125" bestFit="1" customWidth="1"/>
    <col min="44" max="44" width="10.1796875" bestFit="1" customWidth="1"/>
  </cols>
  <sheetData>
    <row r="1" spans="1:45" ht="18" x14ac:dyDescent="0.4">
      <c r="A1" s="119" t="s">
        <v>172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row>
    <row r="2" spans="1:45" ht="18" x14ac:dyDescent="0.4">
      <c r="A2" s="119" t="s">
        <v>298</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row>
    <row r="3" spans="1:45" x14ac:dyDescent="0.35">
      <c r="A3" s="120" t="s">
        <v>460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row>
    <row r="5" spans="1:45" ht="15" customHeight="1" x14ac:dyDescent="0.35">
      <c r="A5" s="1"/>
      <c r="B5" s="121" t="s">
        <v>122</v>
      </c>
      <c r="C5" s="113"/>
      <c r="D5" s="113"/>
      <c r="E5" s="113"/>
      <c r="F5" s="121" t="s">
        <v>206</v>
      </c>
      <c r="G5" s="113"/>
      <c r="H5" s="113"/>
      <c r="I5" s="113"/>
      <c r="J5" s="121" t="s">
        <v>207</v>
      </c>
      <c r="K5" s="113"/>
      <c r="L5" s="113"/>
      <c r="M5" s="113"/>
      <c r="N5" s="121" t="s">
        <v>461</v>
      </c>
      <c r="O5" s="113"/>
      <c r="P5" s="113"/>
      <c r="Q5" s="113"/>
      <c r="R5" s="121" t="s">
        <v>314</v>
      </c>
      <c r="S5" s="113"/>
      <c r="T5" s="113"/>
      <c r="U5" s="113"/>
      <c r="V5" s="121" t="s">
        <v>208</v>
      </c>
      <c r="W5" s="113"/>
      <c r="X5" s="113"/>
      <c r="Y5" s="113"/>
      <c r="Z5" s="121" t="s">
        <v>209</v>
      </c>
      <c r="AA5" s="113"/>
      <c r="AB5" s="113"/>
      <c r="AC5" s="113"/>
      <c r="AD5" s="121" t="s">
        <v>210</v>
      </c>
      <c r="AE5" s="113"/>
      <c r="AF5" s="113"/>
      <c r="AG5" s="113"/>
      <c r="AH5" s="121" t="s">
        <v>211</v>
      </c>
      <c r="AI5" s="113"/>
      <c r="AJ5" s="113"/>
      <c r="AK5" s="113"/>
      <c r="AL5" s="121" t="s">
        <v>212</v>
      </c>
      <c r="AM5" s="113"/>
      <c r="AN5" s="113"/>
      <c r="AO5" s="113"/>
      <c r="AP5" s="121" t="s">
        <v>121</v>
      </c>
      <c r="AQ5" s="113"/>
      <c r="AR5" s="113"/>
      <c r="AS5" s="113"/>
    </row>
    <row r="6" spans="1:45" ht="24" x14ac:dyDescent="0.35">
      <c r="A6" s="1"/>
      <c r="B6" s="91" t="s">
        <v>15</v>
      </c>
      <c r="C6" s="91" t="s">
        <v>16</v>
      </c>
      <c r="D6" s="91" t="s">
        <v>17</v>
      </c>
      <c r="E6" s="91" t="s">
        <v>18</v>
      </c>
      <c r="F6" s="91" t="s">
        <v>15</v>
      </c>
      <c r="G6" s="91" t="s">
        <v>16</v>
      </c>
      <c r="H6" s="91" t="s">
        <v>17</v>
      </c>
      <c r="I6" s="91" t="s">
        <v>18</v>
      </c>
      <c r="J6" s="91" t="s">
        <v>15</v>
      </c>
      <c r="K6" s="91" t="s">
        <v>16</v>
      </c>
      <c r="L6" s="91" t="s">
        <v>17</v>
      </c>
      <c r="M6" s="91" t="s">
        <v>18</v>
      </c>
      <c r="N6" s="91" t="s">
        <v>15</v>
      </c>
      <c r="O6" s="91" t="s">
        <v>16</v>
      </c>
      <c r="P6" s="91" t="s">
        <v>17</v>
      </c>
      <c r="Q6" s="91" t="s">
        <v>18</v>
      </c>
      <c r="R6" s="91" t="s">
        <v>15</v>
      </c>
      <c r="S6" s="91" t="s">
        <v>16</v>
      </c>
      <c r="T6" s="91" t="s">
        <v>17</v>
      </c>
      <c r="U6" s="91" t="s">
        <v>18</v>
      </c>
      <c r="V6" s="91" t="s">
        <v>15</v>
      </c>
      <c r="W6" s="91" t="s">
        <v>16</v>
      </c>
      <c r="X6" s="91" t="s">
        <v>17</v>
      </c>
      <c r="Y6" s="91" t="s">
        <v>18</v>
      </c>
      <c r="Z6" s="91" t="s">
        <v>15</v>
      </c>
      <c r="AA6" s="91" t="s">
        <v>16</v>
      </c>
      <c r="AB6" s="91" t="s">
        <v>17</v>
      </c>
      <c r="AC6" s="91" t="s">
        <v>18</v>
      </c>
      <c r="AD6" s="91" t="s">
        <v>15</v>
      </c>
      <c r="AE6" s="91" t="s">
        <v>16</v>
      </c>
      <c r="AF6" s="91" t="s">
        <v>17</v>
      </c>
      <c r="AG6" s="91" t="s">
        <v>18</v>
      </c>
      <c r="AH6" s="91" t="s">
        <v>15</v>
      </c>
      <c r="AI6" s="91" t="s">
        <v>16</v>
      </c>
      <c r="AJ6" s="91" t="s">
        <v>17</v>
      </c>
      <c r="AK6" s="91" t="s">
        <v>18</v>
      </c>
      <c r="AL6" s="91" t="s">
        <v>15</v>
      </c>
      <c r="AM6" s="91" t="s">
        <v>16</v>
      </c>
      <c r="AN6" s="91" t="s">
        <v>17</v>
      </c>
      <c r="AO6" s="91" t="s">
        <v>18</v>
      </c>
      <c r="AP6" s="91" t="s">
        <v>15</v>
      </c>
      <c r="AQ6" s="91" t="s">
        <v>16</v>
      </c>
      <c r="AR6" s="91" t="s">
        <v>17</v>
      </c>
      <c r="AS6" s="91" t="s">
        <v>18</v>
      </c>
    </row>
    <row r="7" spans="1:45" x14ac:dyDescent="0.35">
      <c r="A7" s="92" t="s">
        <v>173</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row>
    <row r="8" spans="1:45" x14ac:dyDescent="0.35">
      <c r="A8" s="92" t="s">
        <v>315</v>
      </c>
      <c r="B8" s="93"/>
      <c r="C8" s="93"/>
      <c r="D8" s="94">
        <f t="shared" ref="D8:D38" si="0">(B8)-(C8)</f>
        <v>0</v>
      </c>
      <c r="E8" s="95" t="str">
        <f t="shared" ref="E8:E38" si="1">IF(C8=0,"",(B8)/(C8))</f>
        <v/>
      </c>
      <c r="F8" s="93"/>
      <c r="G8" s="93"/>
      <c r="H8" s="94">
        <f t="shared" ref="H8:H38" si="2">(F8)-(G8)</f>
        <v>0</v>
      </c>
      <c r="I8" s="95" t="str">
        <f t="shared" ref="I8:I38" si="3">IF(G8=0,"",(F8)/(G8))</f>
        <v/>
      </c>
      <c r="J8" s="93"/>
      <c r="K8" s="93"/>
      <c r="L8" s="94">
        <f t="shared" ref="L8:L38" si="4">(J8)-(K8)</f>
        <v>0</v>
      </c>
      <c r="M8" s="95" t="str">
        <f t="shared" ref="M8:M38" si="5">IF(K8=0,"",(J8)/(K8))</f>
        <v/>
      </c>
      <c r="N8" s="93"/>
      <c r="O8" s="93"/>
      <c r="P8" s="94">
        <f t="shared" ref="P8:P38" si="6">(N8)-(O8)</f>
        <v>0</v>
      </c>
      <c r="Q8" s="95" t="str">
        <f t="shared" ref="Q8:Q38" si="7">IF(O8=0,"",(N8)/(O8))</f>
        <v/>
      </c>
      <c r="R8" s="93"/>
      <c r="S8" s="93"/>
      <c r="T8" s="94">
        <f t="shared" ref="T8:T38" si="8">(R8)-(S8)</f>
        <v>0</v>
      </c>
      <c r="U8" s="95" t="str">
        <f t="shared" ref="U8:U38" si="9">IF(S8=0,"",(R8)/(S8))</f>
        <v/>
      </c>
      <c r="V8" s="93"/>
      <c r="W8" s="93"/>
      <c r="X8" s="94">
        <f t="shared" ref="X8:X38" si="10">(V8)-(W8)</f>
        <v>0</v>
      </c>
      <c r="Y8" s="95" t="str">
        <f t="shared" ref="Y8:Y38" si="11">IF(W8=0,"",(V8)/(W8))</f>
        <v/>
      </c>
      <c r="Z8" s="93"/>
      <c r="AA8" s="93"/>
      <c r="AB8" s="94">
        <f t="shared" ref="AB8:AB38" si="12">(Z8)-(AA8)</f>
        <v>0</v>
      </c>
      <c r="AC8" s="95" t="str">
        <f t="shared" ref="AC8:AC38" si="13">IF(AA8=0,"",(Z8)/(AA8))</f>
        <v/>
      </c>
      <c r="AD8" s="94">
        <f t="shared" ref="AD8:AE38" si="14">(V8)+(Z8)</f>
        <v>0</v>
      </c>
      <c r="AE8" s="94">
        <f t="shared" si="14"/>
        <v>0</v>
      </c>
      <c r="AF8" s="94">
        <f t="shared" ref="AF8:AF38" si="15">(AD8)-(AE8)</f>
        <v>0</v>
      </c>
      <c r="AG8" s="95" t="str">
        <f t="shared" ref="AG8:AG38" si="16">IF(AE8=0,"",(AD8)/(AE8))</f>
        <v/>
      </c>
      <c r="AH8" s="94">
        <f t="shared" ref="AH8:AI38" si="17">((((F8)+(J8))+(N8))+(R8))+(AD8)</f>
        <v>0</v>
      </c>
      <c r="AI8" s="94">
        <f t="shared" si="17"/>
        <v>0</v>
      </c>
      <c r="AJ8" s="94">
        <f t="shared" ref="AJ8:AJ38" si="18">(AH8)-(AI8)</f>
        <v>0</v>
      </c>
      <c r="AK8" s="95" t="str">
        <f t="shared" ref="AK8:AK38" si="19">IF(AI8=0,"",(AH8)/(AI8))</f>
        <v/>
      </c>
      <c r="AL8" s="93"/>
      <c r="AM8" s="93"/>
      <c r="AN8" s="94">
        <f t="shared" ref="AN8:AN38" si="20">(AL8)-(AM8)</f>
        <v>0</v>
      </c>
      <c r="AO8" s="95" t="str">
        <f t="shared" ref="AO8:AO38" si="21">IF(AM8=0,"",(AL8)/(AM8))</f>
        <v/>
      </c>
      <c r="AP8" s="94">
        <f t="shared" ref="AP8:AQ38" si="22">((B8)+(AH8))+(AL8)</f>
        <v>0</v>
      </c>
      <c r="AQ8" s="94">
        <f t="shared" si="22"/>
        <v>0</v>
      </c>
      <c r="AR8" s="94">
        <f t="shared" ref="AR8:AR38" si="23">(AP8)-(AQ8)</f>
        <v>0</v>
      </c>
      <c r="AS8" s="95" t="str">
        <f t="shared" ref="AS8:AS38" si="24">IF(AQ8=0,"",(AP8)/(AQ8))</f>
        <v/>
      </c>
    </row>
    <row r="9" spans="1:45" x14ac:dyDescent="0.35">
      <c r="A9" s="92" t="s">
        <v>316</v>
      </c>
      <c r="B9" s="93"/>
      <c r="C9" s="93"/>
      <c r="D9" s="94">
        <f t="shared" si="0"/>
        <v>0</v>
      </c>
      <c r="E9" s="95" t="str">
        <f t="shared" si="1"/>
        <v/>
      </c>
      <c r="F9" s="93"/>
      <c r="G9" s="93"/>
      <c r="H9" s="94">
        <f t="shared" si="2"/>
        <v>0</v>
      </c>
      <c r="I9" s="95" t="str">
        <f t="shared" si="3"/>
        <v/>
      </c>
      <c r="J9" s="93"/>
      <c r="K9" s="93"/>
      <c r="L9" s="94">
        <f t="shared" si="4"/>
        <v>0</v>
      </c>
      <c r="M9" s="95" t="str">
        <f t="shared" si="5"/>
        <v/>
      </c>
      <c r="N9" s="93"/>
      <c r="O9" s="93"/>
      <c r="P9" s="94">
        <f t="shared" si="6"/>
        <v>0</v>
      </c>
      <c r="Q9" s="95" t="str">
        <f t="shared" si="7"/>
        <v/>
      </c>
      <c r="R9" s="93"/>
      <c r="S9" s="93"/>
      <c r="T9" s="94">
        <f t="shared" si="8"/>
        <v>0</v>
      </c>
      <c r="U9" s="95" t="str">
        <f t="shared" si="9"/>
        <v/>
      </c>
      <c r="V9" s="93"/>
      <c r="W9" s="93"/>
      <c r="X9" s="94">
        <f t="shared" si="10"/>
        <v>0</v>
      </c>
      <c r="Y9" s="95" t="str">
        <f t="shared" si="11"/>
        <v/>
      </c>
      <c r="Z9" s="93"/>
      <c r="AA9" s="93"/>
      <c r="AB9" s="94">
        <f t="shared" si="12"/>
        <v>0</v>
      </c>
      <c r="AC9" s="95" t="str">
        <f t="shared" si="13"/>
        <v/>
      </c>
      <c r="AD9" s="94">
        <f t="shared" si="14"/>
        <v>0</v>
      </c>
      <c r="AE9" s="94">
        <f t="shared" si="14"/>
        <v>0</v>
      </c>
      <c r="AF9" s="94">
        <f t="shared" si="15"/>
        <v>0</v>
      </c>
      <c r="AG9" s="95" t="str">
        <f t="shared" si="16"/>
        <v/>
      </c>
      <c r="AH9" s="94">
        <f t="shared" si="17"/>
        <v>0</v>
      </c>
      <c r="AI9" s="94">
        <f t="shared" si="17"/>
        <v>0</v>
      </c>
      <c r="AJ9" s="94">
        <f t="shared" si="18"/>
        <v>0</v>
      </c>
      <c r="AK9" s="95" t="str">
        <f t="shared" si="19"/>
        <v/>
      </c>
      <c r="AL9" s="94">
        <f>4812.9</f>
        <v>4812.8999999999996</v>
      </c>
      <c r="AM9" s="94">
        <f>6570.85</f>
        <v>6570.85</v>
      </c>
      <c r="AN9" s="94">
        <f t="shared" si="20"/>
        <v>-1757.9500000000007</v>
      </c>
      <c r="AO9" s="95">
        <f t="shared" si="21"/>
        <v>0.73246231461683031</v>
      </c>
      <c r="AP9" s="94">
        <f t="shared" si="22"/>
        <v>4812.8999999999996</v>
      </c>
      <c r="AQ9" s="94">
        <f t="shared" si="22"/>
        <v>6570.85</v>
      </c>
      <c r="AR9" s="94">
        <f t="shared" si="23"/>
        <v>-1757.9500000000007</v>
      </c>
      <c r="AS9" s="95">
        <f t="shared" si="24"/>
        <v>0.73246231461683031</v>
      </c>
    </row>
    <row r="10" spans="1:45" x14ac:dyDescent="0.35">
      <c r="A10" s="92" t="s">
        <v>317</v>
      </c>
      <c r="B10" s="93"/>
      <c r="C10" s="93"/>
      <c r="D10" s="94">
        <f t="shared" si="0"/>
        <v>0</v>
      </c>
      <c r="E10" s="95" t="str">
        <f t="shared" si="1"/>
        <v/>
      </c>
      <c r="F10" s="93"/>
      <c r="G10" s="93"/>
      <c r="H10" s="94">
        <f t="shared" si="2"/>
        <v>0</v>
      </c>
      <c r="I10" s="95" t="str">
        <f t="shared" si="3"/>
        <v/>
      </c>
      <c r="J10" s="93"/>
      <c r="K10" s="93"/>
      <c r="L10" s="94">
        <f t="shared" si="4"/>
        <v>0</v>
      </c>
      <c r="M10" s="95" t="str">
        <f t="shared" si="5"/>
        <v/>
      </c>
      <c r="N10" s="93"/>
      <c r="O10" s="93"/>
      <c r="P10" s="94">
        <f t="shared" si="6"/>
        <v>0</v>
      </c>
      <c r="Q10" s="95" t="str">
        <f t="shared" si="7"/>
        <v/>
      </c>
      <c r="R10" s="93"/>
      <c r="S10" s="93"/>
      <c r="T10" s="94">
        <f t="shared" si="8"/>
        <v>0</v>
      </c>
      <c r="U10" s="95" t="str">
        <f t="shared" si="9"/>
        <v/>
      </c>
      <c r="V10" s="93"/>
      <c r="W10" s="93"/>
      <c r="X10" s="94">
        <f t="shared" si="10"/>
        <v>0</v>
      </c>
      <c r="Y10" s="95" t="str">
        <f t="shared" si="11"/>
        <v/>
      </c>
      <c r="Z10" s="93"/>
      <c r="AA10" s="93"/>
      <c r="AB10" s="94">
        <f t="shared" si="12"/>
        <v>0</v>
      </c>
      <c r="AC10" s="95" t="str">
        <f t="shared" si="13"/>
        <v/>
      </c>
      <c r="AD10" s="94">
        <f t="shared" si="14"/>
        <v>0</v>
      </c>
      <c r="AE10" s="94">
        <f t="shared" si="14"/>
        <v>0</v>
      </c>
      <c r="AF10" s="94">
        <f t="shared" si="15"/>
        <v>0</v>
      </c>
      <c r="AG10" s="95" t="str">
        <f t="shared" si="16"/>
        <v/>
      </c>
      <c r="AH10" s="94">
        <f t="shared" si="17"/>
        <v>0</v>
      </c>
      <c r="AI10" s="94">
        <f t="shared" si="17"/>
        <v>0</v>
      </c>
      <c r="AJ10" s="94">
        <f t="shared" si="18"/>
        <v>0</v>
      </c>
      <c r="AK10" s="95" t="str">
        <f t="shared" si="19"/>
        <v/>
      </c>
      <c r="AL10" s="94">
        <f>51058.39</f>
        <v>51058.39</v>
      </c>
      <c r="AM10" s="94">
        <f>36458.35</f>
        <v>36458.35</v>
      </c>
      <c r="AN10" s="94">
        <f t="shared" si="20"/>
        <v>14600.04</v>
      </c>
      <c r="AO10" s="95">
        <f t="shared" si="21"/>
        <v>1.4004580569334597</v>
      </c>
      <c r="AP10" s="94">
        <f t="shared" si="22"/>
        <v>51058.39</v>
      </c>
      <c r="AQ10" s="94">
        <f t="shared" si="22"/>
        <v>36458.35</v>
      </c>
      <c r="AR10" s="94">
        <f t="shared" si="23"/>
        <v>14600.04</v>
      </c>
      <c r="AS10" s="95">
        <f t="shared" si="24"/>
        <v>1.4004580569334597</v>
      </c>
    </row>
    <row r="11" spans="1:45" x14ac:dyDescent="0.35">
      <c r="A11" s="92" t="s">
        <v>318</v>
      </c>
      <c r="B11" s="93"/>
      <c r="C11" s="93"/>
      <c r="D11" s="94">
        <f t="shared" si="0"/>
        <v>0</v>
      </c>
      <c r="E11" s="95" t="str">
        <f t="shared" si="1"/>
        <v/>
      </c>
      <c r="F11" s="93"/>
      <c r="G11" s="93"/>
      <c r="H11" s="94">
        <f t="shared" si="2"/>
        <v>0</v>
      </c>
      <c r="I11" s="95" t="str">
        <f t="shared" si="3"/>
        <v/>
      </c>
      <c r="J11" s="93"/>
      <c r="K11" s="93"/>
      <c r="L11" s="94">
        <f t="shared" si="4"/>
        <v>0</v>
      </c>
      <c r="M11" s="95" t="str">
        <f t="shared" si="5"/>
        <v/>
      </c>
      <c r="N11" s="93"/>
      <c r="O11" s="93"/>
      <c r="P11" s="94">
        <f t="shared" si="6"/>
        <v>0</v>
      </c>
      <c r="Q11" s="95" t="str">
        <f t="shared" si="7"/>
        <v/>
      </c>
      <c r="R11" s="93"/>
      <c r="S11" s="93"/>
      <c r="T11" s="94">
        <f t="shared" si="8"/>
        <v>0</v>
      </c>
      <c r="U11" s="95" t="str">
        <f t="shared" si="9"/>
        <v/>
      </c>
      <c r="V11" s="93"/>
      <c r="W11" s="93"/>
      <c r="X11" s="94">
        <f t="shared" si="10"/>
        <v>0</v>
      </c>
      <c r="Y11" s="95" t="str">
        <f t="shared" si="11"/>
        <v/>
      </c>
      <c r="Z11" s="93"/>
      <c r="AA11" s="93"/>
      <c r="AB11" s="94">
        <f t="shared" si="12"/>
        <v>0</v>
      </c>
      <c r="AC11" s="95" t="str">
        <f t="shared" si="13"/>
        <v/>
      </c>
      <c r="AD11" s="94">
        <f t="shared" si="14"/>
        <v>0</v>
      </c>
      <c r="AE11" s="94">
        <f t="shared" si="14"/>
        <v>0</v>
      </c>
      <c r="AF11" s="94">
        <f t="shared" si="15"/>
        <v>0</v>
      </c>
      <c r="AG11" s="95" t="str">
        <f t="shared" si="16"/>
        <v/>
      </c>
      <c r="AH11" s="94">
        <f t="shared" si="17"/>
        <v>0</v>
      </c>
      <c r="AI11" s="94">
        <f t="shared" si="17"/>
        <v>0</v>
      </c>
      <c r="AJ11" s="94">
        <f t="shared" si="18"/>
        <v>0</v>
      </c>
      <c r="AK11" s="95" t="str">
        <f t="shared" si="19"/>
        <v/>
      </c>
      <c r="AL11" s="94">
        <f>38403.28</f>
        <v>38403.279999999999</v>
      </c>
      <c r="AM11" s="94">
        <f>44633.35</f>
        <v>44633.35</v>
      </c>
      <c r="AN11" s="94">
        <f t="shared" si="20"/>
        <v>-6230.07</v>
      </c>
      <c r="AO11" s="95">
        <f t="shared" si="21"/>
        <v>0.86041670634178258</v>
      </c>
      <c r="AP11" s="94">
        <f t="shared" si="22"/>
        <v>38403.279999999999</v>
      </c>
      <c r="AQ11" s="94">
        <f t="shared" si="22"/>
        <v>44633.35</v>
      </c>
      <c r="AR11" s="94">
        <f t="shared" si="23"/>
        <v>-6230.07</v>
      </c>
      <c r="AS11" s="95">
        <f t="shared" si="24"/>
        <v>0.86041670634178258</v>
      </c>
    </row>
    <row r="12" spans="1:45" x14ac:dyDescent="0.35">
      <c r="A12" s="92" t="s">
        <v>319</v>
      </c>
      <c r="B12" s="93"/>
      <c r="C12" s="93"/>
      <c r="D12" s="94">
        <f t="shared" si="0"/>
        <v>0</v>
      </c>
      <c r="E12" s="95" t="str">
        <f t="shared" si="1"/>
        <v/>
      </c>
      <c r="F12" s="93"/>
      <c r="G12" s="93"/>
      <c r="H12" s="94">
        <f t="shared" si="2"/>
        <v>0</v>
      </c>
      <c r="I12" s="95" t="str">
        <f t="shared" si="3"/>
        <v/>
      </c>
      <c r="J12" s="93"/>
      <c r="K12" s="93"/>
      <c r="L12" s="94">
        <f t="shared" si="4"/>
        <v>0</v>
      </c>
      <c r="M12" s="95" t="str">
        <f t="shared" si="5"/>
        <v/>
      </c>
      <c r="N12" s="93"/>
      <c r="O12" s="93"/>
      <c r="P12" s="94">
        <f t="shared" si="6"/>
        <v>0</v>
      </c>
      <c r="Q12" s="95" t="str">
        <f t="shared" si="7"/>
        <v/>
      </c>
      <c r="R12" s="93"/>
      <c r="S12" s="93"/>
      <c r="T12" s="94">
        <f t="shared" si="8"/>
        <v>0</v>
      </c>
      <c r="U12" s="95" t="str">
        <f t="shared" si="9"/>
        <v/>
      </c>
      <c r="V12" s="93"/>
      <c r="W12" s="93"/>
      <c r="X12" s="94">
        <f t="shared" si="10"/>
        <v>0</v>
      </c>
      <c r="Y12" s="95" t="str">
        <f t="shared" si="11"/>
        <v/>
      </c>
      <c r="Z12" s="93"/>
      <c r="AA12" s="93"/>
      <c r="AB12" s="94">
        <f t="shared" si="12"/>
        <v>0</v>
      </c>
      <c r="AC12" s="95" t="str">
        <f t="shared" si="13"/>
        <v/>
      </c>
      <c r="AD12" s="94">
        <f t="shared" si="14"/>
        <v>0</v>
      </c>
      <c r="AE12" s="94">
        <f t="shared" si="14"/>
        <v>0</v>
      </c>
      <c r="AF12" s="94">
        <f t="shared" si="15"/>
        <v>0</v>
      </c>
      <c r="AG12" s="95" t="str">
        <f t="shared" si="16"/>
        <v/>
      </c>
      <c r="AH12" s="94">
        <f t="shared" si="17"/>
        <v>0</v>
      </c>
      <c r="AI12" s="94">
        <f t="shared" si="17"/>
        <v>0</v>
      </c>
      <c r="AJ12" s="94">
        <f t="shared" si="18"/>
        <v>0</v>
      </c>
      <c r="AK12" s="95" t="str">
        <f t="shared" si="19"/>
        <v/>
      </c>
      <c r="AL12" s="94">
        <f>44502.6</f>
        <v>44502.6</v>
      </c>
      <c r="AM12" s="94">
        <f>37916.65</f>
        <v>37916.65</v>
      </c>
      <c r="AN12" s="94">
        <f t="shared" si="20"/>
        <v>6585.9499999999971</v>
      </c>
      <c r="AO12" s="95">
        <f t="shared" si="21"/>
        <v>1.1736954609650376</v>
      </c>
      <c r="AP12" s="94">
        <f t="shared" si="22"/>
        <v>44502.6</v>
      </c>
      <c r="AQ12" s="94">
        <f t="shared" si="22"/>
        <v>37916.65</v>
      </c>
      <c r="AR12" s="94">
        <f t="shared" si="23"/>
        <v>6585.9499999999971</v>
      </c>
      <c r="AS12" s="95">
        <f t="shared" si="24"/>
        <v>1.1736954609650376</v>
      </c>
    </row>
    <row r="13" spans="1:45" x14ac:dyDescent="0.35">
      <c r="A13" s="92" t="s">
        <v>320</v>
      </c>
      <c r="B13" s="93"/>
      <c r="C13" s="93"/>
      <c r="D13" s="94">
        <f t="shared" si="0"/>
        <v>0</v>
      </c>
      <c r="E13" s="95" t="str">
        <f t="shared" si="1"/>
        <v/>
      </c>
      <c r="F13" s="93"/>
      <c r="G13" s="93"/>
      <c r="H13" s="94">
        <f t="shared" si="2"/>
        <v>0</v>
      </c>
      <c r="I13" s="95" t="str">
        <f t="shared" si="3"/>
        <v/>
      </c>
      <c r="J13" s="93"/>
      <c r="K13" s="93"/>
      <c r="L13" s="94">
        <f t="shared" si="4"/>
        <v>0</v>
      </c>
      <c r="M13" s="95" t="str">
        <f t="shared" si="5"/>
        <v/>
      </c>
      <c r="N13" s="93"/>
      <c r="O13" s="93"/>
      <c r="P13" s="94">
        <f t="shared" si="6"/>
        <v>0</v>
      </c>
      <c r="Q13" s="95" t="str">
        <f t="shared" si="7"/>
        <v/>
      </c>
      <c r="R13" s="93"/>
      <c r="S13" s="93"/>
      <c r="T13" s="94">
        <f t="shared" si="8"/>
        <v>0</v>
      </c>
      <c r="U13" s="95" t="str">
        <f t="shared" si="9"/>
        <v/>
      </c>
      <c r="V13" s="93"/>
      <c r="W13" s="93"/>
      <c r="X13" s="94">
        <f t="shared" si="10"/>
        <v>0</v>
      </c>
      <c r="Y13" s="95" t="str">
        <f t="shared" si="11"/>
        <v/>
      </c>
      <c r="Z13" s="93"/>
      <c r="AA13" s="93"/>
      <c r="AB13" s="94">
        <f t="shared" si="12"/>
        <v>0</v>
      </c>
      <c r="AC13" s="95" t="str">
        <f t="shared" si="13"/>
        <v/>
      </c>
      <c r="AD13" s="94">
        <f t="shared" si="14"/>
        <v>0</v>
      </c>
      <c r="AE13" s="94">
        <f t="shared" si="14"/>
        <v>0</v>
      </c>
      <c r="AF13" s="94">
        <f t="shared" si="15"/>
        <v>0</v>
      </c>
      <c r="AG13" s="95" t="str">
        <f t="shared" si="16"/>
        <v/>
      </c>
      <c r="AH13" s="94">
        <f t="shared" si="17"/>
        <v>0</v>
      </c>
      <c r="AI13" s="94">
        <f t="shared" si="17"/>
        <v>0</v>
      </c>
      <c r="AJ13" s="94">
        <f t="shared" si="18"/>
        <v>0</v>
      </c>
      <c r="AK13" s="95" t="str">
        <f t="shared" si="19"/>
        <v/>
      </c>
      <c r="AL13" s="94">
        <f>19843.75</f>
        <v>19843.75</v>
      </c>
      <c r="AM13" s="94">
        <f>15875</f>
        <v>15875</v>
      </c>
      <c r="AN13" s="94">
        <f t="shared" si="20"/>
        <v>3968.75</v>
      </c>
      <c r="AO13" s="95">
        <f t="shared" si="21"/>
        <v>1.25</v>
      </c>
      <c r="AP13" s="94">
        <f t="shared" si="22"/>
        <v>19843.75</v>
      </c>
      <c r="AQ13" s="94">
        <f t="shared" si="22"/>
        <v>15875</v>
      </c>
      <c r="AR13" s="94">
        <f t="shared" si="23"/>
        <v>3968.75</v>
      </c>
      <c r="AS13" s="95">
        <f t="shared" si="24"/>
        <v>1.25</v>
      </c>
    </row>
    <row r="14" spans="1:45" x14ac:dyDescent="0.35">
      <c r="A14" s="92" t="s">
        <v>321</v>
      </c>
      <c r="B14" s="93"/>
      <c r="C14" s="93"/>
      <c r="D14" s="94">
        <f t="shared" si="0"/>
        <v>0</v>
      </c>
      <c r="E14" s="95" t="str">
        <f t="shared" si="1"/>
        <v/>
      </c>
      <c r="F14" s="93"/>
      <c r="G14" s="93"/>
      <c r="H14" s="94">
        <f t="shared" si="2"/>
        <v>0</v>
      </c>
      <c r="I14" s="95" t="str">
        <f t="shared" si="3"/>
        <v/>
      </c>
      <c r="J14" s="93"/>
      <c r="K14" s="93"/>
      <c r="L14" s="94">
        <f t="shared" si="4"/>
        <v>0</v>
      </c>
      <c r="M14" s="95" t="str">
        <f t="shared" si="5"/>
        <v/>
      </c>
      <c r="N14" s="93"/>
      <c r="O14" s="93"/>
      <c r="P14" s="94">
        <f t="shared" si="6"/>
        <v>0</v>
      </c>
      <c r="Q14" s="95" t="str">
        <f t="shared" si="7"/>
        <v/>
      </c>
      <c r="R14" s="93"/>
      <c r="S14" s="93"/>
      <c r="T14" s="94">
        <f t="shared" si="8"/>
        <v>0</v>
      </c>
      <c r="U14" s="95" t="str">
        <f t="shared" si="9"/>
        <v/>
      </c>
      <c r="V14" s="93"/>
      <c r="W14" s="93"/>
      <c r="X14" s="94">
        <f t="shared" si="10"/>
        <v>0</v>
      </c>
      <c r="Y14" s="95" t="str">
        <f t="shared" si="11"/>
        <v/>
      </c>
      <c r="Z14" s="93"/>
      <c r="AA14" s="93"/>
      <c r="AB14" s="94">
        <f t="shared" si="12"/>
        <v>0</v>
      </c>
      <c r="AC14" s="95" t="str">
        <f t="shared" si="13"/>
        <v/>
      </c>
      <c r="AD14" s="94">
        <f t="shared" si="14"/>
        <v>0</v>
      </c>
      <c r="AE14" s="94">
        <f t="shared" si="14"/>
        <v>0</v>
      </c>
      <c r="AF14" s="94">
        <f t="shared" si="15"/>
        <v>0</v>
      </c>
      <c r="AG14" s="95" t="str">
        <f t="shared" si="16"/>
        <v/>
      </c>
      <c r="AH14" s="94">
        <f t="shared" si="17"/>
        <v>0</v>
      </c>
      <c r="AI14" s="94">
        <f t="shared" si="17"/>
        <v>0</v>
      </c>
      <c r="AJ14" s="94">
        <f t="shared" si="18"/>
        <v>0</v>
      </c>
      <c r="AK14" s="95" t="str">
        <f t="shared" si="19"/>
        <v/>
      </c>
      <c r="AL14" s="94">
        <f>31697.5</f>
        <v>31697.5</v>
      </c>
      <c r="AM14" s="94">
        <f>31697.5</f>
        <v>31697.5</v>
      </c>
      <c r="AN14" s="94">
        <f t="shared" si="20"/>
        <v>0</v>
      </c>
      <c r="AO14" s="95">
        <f t="shared" si="21"/>
        <v>1</v>
      </c>
      <c r="AP14" s="94">
        <f t="shared" si="22"/>
        <v>31697.5</v>
      </c>
      <c r="AQ14" s="94">
        <f t="shared" si="22"/>
        <v>31697.5</v>
      </c>
      <c r="AR14" s="94">
        <f t="shared" si="23"/>
        <v>0</v>
      </c>
      <c r="AS14" s="95">
        <f t="shared" si="24"/>
        <v>1</v>
      </c>
    </row>
    <row r="15" spans="1:45" x14ac:dyDescent="0.35">
      <c r="A15" s="92" t="s">
        <v>322</v>
      </c>
      <c r="B15" s="93"/>
      <c r="C15" s="93"/>
      <c r="D15" s="94">
        <f t="shared" si="0"/>
        <v>0</v>
      </c>
      <c r="E15" s="95" t="str">
        <f t="shared" si="1"/>
        <v/>
      </c>
      <c r="F15" s="93"/>
      <c r="G15" s="93"/>
      <c r="H15" s="94">
        <f t="shared" si="2"/>
        <v>0</v>
      </c>
      <c r="I15" s="95" t="str">
        <f t="shared" si="3"/>
        <v/>
      </c>
      <c r="J15" s="93"/>
      <c r="K15" s="93"/>
      <c r="L15" s="94">
        <f t="shared" si="4"/>
        <v>0</v>
      </c>
      <c r="M15" s="95" t="str">
        <f t="shared" si="5"/>
        <v/>
      </c>
      <c r="N15" s="93"/>
      <c r="O15" s="93"/>
      <c r="P15" s="94">
        <f t="shared" si="6"/>
        <v>0</v>
      </c>
      <c r="Q15" s="95" t="str">
        <f t="shared" si="7"/>
        <v/>
      </c>
      <c r="R15" s="93"/>
      <c r="S15" s="93"/>
      <c r="T15" s="94">
        <f t="shared" si="8"/>
        <v>0</v>
      </c>
      <c r="U15" s="95" t="str">
        <f t="shared" si="9"/>
        <v/>
      </c>
      <c r="V15" s="93"/>
      <c r="W15" s="93"/>
      <c r="X15" s="94">
        <f t="shared" si="10"/>
        <v>0</v>
      </c>
      <c r="Y15" s="95" t="str">
        <f t="shared" si="11"/>
        <v/>
      </c>
      <c r="Z15" s="93"/>
      <c r="AA15" s="93"/>
      <c r="AB15" s="94">
        <f t="shared" si="12"/>
        <v>0</v>
      </c>
      <c r="AC15" s="95" t="str">
        <f t="shared" si="13"/>
        <v/>
      </c>
      <c r="AD15" s="94">
        <f t="shared" si="14"/>
        <v>0</v>
      </c>
      <c r="AE15" s="94">
        <f t="shared" si="14"/>
        <v>0</v>
      </c>
      <c r="AF15" s="94">
        <f t="shared" si="15"/>
        <v>0</v>
      </c>
      <c r="AG15" s="95" t="str">
        <f t="shared" si="16"/>
        <v/>
      </c>
      <c r="AH15" s="94">
        <f t="shared" si="17"/>
        <v>0</v>
      </c>
      <c r="AI15" s="94">
        <f t="shared" si="17"/>
        <v>0</v>
      </c>
      <c r="AJ15" s="94">
        <f t="shared" si="18"/>
        <v>0</v>
      </c>
      <c r="AK15" s="95" t="str">
        <f t="shared" si="19"/>
        <v/>
      </c>
      <c r="AL15" s="94">
        <f>7315</f>
        <v>7315</v>
      </c>
      <c r="AM15" s="94">
        <f>11550</f>
        <v>11550</v>
      </c>
      <c r="AN15" s="94">
        <f t="shared" si="20"/>
        <v>-4235</v>
      </c>
      <c r="AO15" s="95">
        <f t="shared" si="21"/>
        <v>0.6333333333333333</v>
      </c>
      <c r="AP15" s="94">
        <f t="shared" si="22"/>
        <v>7315</v>
      </c>
      <c r="AQ15" s="94">
        <f t="shared" si="22"/>
        <v>11550</v>
      </c>
      <c r="AR15" s="94">
        <f t="shared" si="23"/>
        <v>-4235</v>
      </c>
      <c r="AS15" s="95">
        <f t="shared" si="24"/>
        <v>0.6333333333333333</v>
      </c>
    </row>
    <row r="16" spans="1:45" x14ac:dyDescent="0.35">
      <c r="A16" s="92" t="s">
        <v>323</v>
      </c>
      <c r="B16" s="93"/>
      <c r="C16" s="93"/>
      <c r="D16" s="94">
        <f t="shared" si="0"/>
        <v>0</v>
      </c>
      <c r="E16" s="95" t="str">
        <f t="shared" si="1"/>
        <v/>
      </c>
      <c r="F16" s="93"/>
      <c r="G16" s="93"/>
      <c r="H16" s="94">
        <f t="shared" si="2"/>
        <v>0</v>
      </c>
      <c r="I16" s="95" t="str">
        <f t="shared" si="3"/>
        <v/>
      </c>
      <c r="J16" s="93"/>
      <c r="K16" s="93"/>
      <c r="L16" s="94">
        <f t="shared" si="4"/>
        <v>0</v>
      </c>
      <c r="M16" s="95" t="str">
        <f t="shared" si="5"/>
        <v/>
      </c>
      <c r="N16" s="93"/>
      <c r="O16" s="93"/>
      <c r="P16" s="94">
        <f t="shared" si="6"/>
        <v>0</v>
      </c>
      <c r="Q16" s="95" t="str">
        <f t="shared" si="7"/>
        <v/>
      </c>
      <c r="R16" s="93"/>
      <c r="S16" s="93"/>
      <c r="T16" s="94">
        <f t="shared" si="8"/>
        <v>0</v>
      </c>
      <c r="U16" s="95" t="str">
        <f t="shared" si="9"/>
        <v/>
      </c>
      <c r="V16" s="93"/>
      <c r="W16" s="93"/>
      <c r="X16" s="94">
        <f t="shared" si="10"/>
        <v>0</v>
      </c>
      <c r="Y16" s="95" t="str">
        <f t="shared" si="11"/>
        <v/>
      </c>
      <c r="Z16" s="93"/>
      <c r="AA16" s="93"/>
      <c r="AB16" s="94">
        <f t="shared" si="12"/>
        <v>0</v>
      </c>
      <c r="AC16" s="95" t="str">
        <f t="shared" si="13"/>
        <v/>
      </c>
      <c r="AD16" s="94">
        <f t="shared" si="14"/>
        <v>0</v>
      </c>
      <c r="AE16" s="94">
        <f t="shared" si="14"/>
        <v>0</v>
      </c>
      <c r="AF16" s="94">
        <f t="shared" si="15"/>
        <v>0</v>
      </c>
      <c r="AG16" s="95" t="str">
        <f t="shared" si="16"/>
        <v/>
      </c>
      <c r="AH16" s="94">
        <f t="shared" si="17"/>
        <v>0</v>
      </c>
      <c r="AI16" s="94">
        <f t="shared" si="17"/>
        <v>0</v>
      </c>
      <c r="AJ16" s="94">
        <f t="shared" si="18"/>
        <v>0</v>
      </c>
      <c r="AK16" s="95" t="str">
        <f t="shared" si="19"/>
        <v/>
      </c>
      <c r="AL16" s="94">
        <f>7427.1</f>
        <v>7427.1</v>
      </c>
      <c r="AM16" s="94">
        <f>10656.25</f>
        <v>10656.25</v>
      </c>
      <c r="AN16" s="94">
        <f t="shared" si="20"/>
        <v>-3229.1499999999996</v>
      </c>
      <c r="AO16" s="95">
        <f t="shared" si="21"/>
        <v>0.69697126099706752</v>
      </c>
      <c r="AP16" s="94">
        <f t="shared" si="22"/>
        <v>7427.1</v>
      </c>
      <c r="AQ16" s="94">
        <f t="shared" si="22"/>
        <v>10656.25</v>
      </c>
      <c r="AR16" s="94">
        <f t="shared" si="23"/>
        <v>-3229.1499999999996</v>
      </c>
      <c r="AS16" s="95">
        <f t="shared" si="24"/>
        <v>0.69697126099706752</v>
      </c>
    </row>
    <row r="17" spans="1:45" x14ac:dyDescent="0.35">
      <c r="A17" s="92" t="s">
        <v>450</v>
      </c>
      <c r="B17" s="93"/>
      <c r="C17" s="93"/>
      <c r="D17" s="94">
        <f t="shared" si="0"/>
        <v>0</v>
      </c>
      <c r="E17" s="95" t="str">
        <f t="shared" si="1"/>
        <v/>
      </c>
      <c r="F17" s="93"/>
      <c r="G17" s="93"/>
      <c r="H17" s="94">
        <f t="shared" si="2"/>
        <v>0</v>
      </c>
      <c r="I17" s="95" t="str">
        <f t="shared" si="3"/>
        <v/>
      </c>
      <c r="J17" s="93"/>
      <c r="K17" s="93"/>
      <c r="L17" s="94">
        <f t="shared" si="4"/>
        <v>0</v>
      </c>
      <c r="M17" s="95" t="str">
        <f t="shared" si="5"/>
        <v/>
      </c>
      <c r="N17" s="93"/>
      <c r="O17" s="93"/>
      <c r="P17" s="94">
        <f t="shared" si="6"/>
        <v>0</v>
      </c>
      <c r="Q17" s="95" t="str">
        <f t="shared" si="7"/>
        <v/>
      </c>
      <c r="R17" s="93"/>
      <c r="S17" s="93"/>
      <c r="T17" s="94">
        <f t="shared" si="8"/>
        <v>0</v>
      </c>
      <c r="U17" s="95" t="str">
        <f t="shared" si="9"/>
        <v/>
      </c>
      <c r="V17" s="93"/>
      <c r="W17" s="93"/>
      <c r="X17" s="94">
        <f t="shared" si="10"/>
        <v>0</v>
      </c>
      <c r="Y17" s="95" t="str">
        <f t="shared" si="11"/>
        <v/>
      </c>
      <c r="Z17" s="93"/>
      <c r="AA17" s="93"/>
      <c r="AB17" s="94">
        <f t="shared" si="12"/>
        <v>0</v>
      </c>
      <c r="AC17" s="95" t="str">
        <f t="shared" si="13"/>
        <v/>
      </c>
      <c r="AD17" s="94">
        <f t="shared" si="14"/>
        <v>0</v>
      </c>
      <c r="AE17" s="94">
        <f t="shared" si="14"/>
        <v>0</v>
      </c>
      <c r="AF17" s="94">
        <f t="shared" si="15"/>
        <v>0</v>
      </c>
      <c r="AG17" s="95" t="str">
        <f t="shared" si="16"/>
        <v/>
      </c>
      <c r="AH17" s="94">
        <f t="shared" si="17"/>
        <v>0</v>
      </c>
      <c r="AI17" s="94">
        <f t="shared" si="17"/>
        <v>0</v>
      </c>
      <c r="AJ17" s="94">
        <f t="shared" si="18"/>
        <v>0</v>
      </c>
      <c r="AK17" s="95" t="str">
        <f t="shared" si="19"/>
        <v/>
      </c>
      <c r="AL17" s="94">
        <f>345.85</f>
        <v>345.85</v>
      </c>
      <c r="AM17" s="94">
        <f>7656.25</f>
        <v>7656.25</v>
      </c>
      <c r="AN17" s="94">
        <f t="shared" si="20"/>
        <v>-7310.4</v>
      </c>
      <c r="AO17" s="95">
        <f t="shared" si="21"/>
        <v>4.5172244897959186E-2</v>
      </c>
      <c r="AP17" s="94">
        <f t="shared" si="22"/>
        <v>345.85</v>
      </c>
      <c r="AQ17" s="94">
        <f t="shared" si="22"/>
        <v>7656.25</v>
      </c>
      <c r="AR17" s="94">
        <f t="shared" si="23"/>
        <v>-7310.4</v>
      </c>
      <c r="AS17" s="95">
        <f t="shared" si="24"/>
        <v>4.5172244897959186E-2</v>
      </c>
    </row>
    <row r="18" spans="1:45" x14ac:dyDescent="0.35">
      <c r="A18" s="92" t="s">
        <v>324</v>
      </c>
      <c r="B18" s="96">
        <f>(((((((((B8)+(B9))+(B10))+(B11))+(B12))+(B13))+(B14))+(B15))+(B16))+(B17)</f>
        <v>0</v>
      </c>
      <c r="C18" s="96">
        <f>(((((((((C8)+(C9))+(C10))+(C11))+(C12))+(C13))+(C14))+(C15))+(C16))+(C17)</f>
        <v>0</v>
      </c>
      <c r="D18" s="96">
        <f t="shared" si="0"/>
        <v>0</v>
      </c>
      <c r="E18" s="97" t="str">
        <f t="shared" si="1"/>
        <v/>
      </c>
      <c r="F18" s="96">
        <f>(((((((((F8)+(F9))+(F10))+(F11))+(F12))+(F13))+(F14))+(F15))+(F16))+(F17)</f>
        <v>0</v>
      </c>
      <c r="G18" s="96">
        <f>(((((((((G8)+(G9))+(G10))+(G11))+(G12))+(G13))+(G14))+(G15))+(G16))+(G17)</f>
        <v>0</v>
      </c>
      <c r="H18" s="96">
        <f t="shared" si="2"/>
        <v>0</v>
      </c>
      <c r="I18" s="97" t="str">
        <f t="shared" si="3"/>
        <v/>
      </c>
      <c r="J18" s="96">
        <f>(((((((((J8)+(J9))+(J10))+(J11))+(J12))+(J13))+(J14))+(J15))+(J16))+(J17)</f>
        <v>0</v>
      </c>
      <c r="K18" s="96">
        <f>(((((((((K8)+(K9))+(K10))+(K11))+(K12))+(K13))+(K14))+(K15))+(K16))+(K17)</f>
        <v>0</v>
      </c>
      <c r="L18" s="96">
        <f t="shared" si="4"/>
        <v>0</v>
      </c>
      <c r="M18" s="97" t="str">
        <f t="shared" si="5"/>
        <v/>
      </c>
      <c r="N18" s="96">
        <f>(((((((((N8)+(N9))+(N10))+(N11))+(N12))+(N13))+(N14))+(N15))+(N16))+(N17)</f>
        <v>0</v>
      </c>
      <c r="O18" s="96">
        <f>(((((((((O8)+(O9))+(O10))+(O11))+(O12))+(O13))+(O14))+(O15))+(O16))+(O17)</f>
        <v>0</v>
      </c>
      <c r="P18" s="96">
        <f t="shared" si="6"/>
        <v>0</v>
      </c>
      <c r="Q18" s="97" t="str">
        <f t="shared" si="7"/>
        <v/>
      </c>
      <c r="R18" s="96">
        <f>(((((((((R8)+(R9))+(R10))+(R11))+(R12))+(R13))+(R14))+(R15))+(R16))+(R17)</f>
        <v>0</v>
      </c>
      <c r="S18" s="96">
        <f>(((((((((S8)+(S9))+(S10))+(S11))+(S12))+(S13))+(S14))+(S15))+(S16))+(S17)</f>
        <v>0</v>
      </c>
      <c r="T18" s="96">
        <f t="shared" si="8"/>
        <v>0</v>
      </c>
      <c r="U18" s="97" t="str">
        <f t="shared" si="9"/>
        <v/>
      </c>
      <c r="V18" s="96">
        <f>(((((((((V8)+(V9))+(V10))+(V11))+(V12))+(V13))+(V14))+(V15))+(V16))+(V17)</f>
        <v>0</v>
      </c>
      <c r="W18" s="96">
        <f>(((((((((W8)+(W9))+(W10))+(W11))+(W12))+(W13))+(W14))+(W15))+(W16))+(W17)</f>
        <v>0</v>
      </c>
      <c r="X18" s="96">
        <f t="shared" si="10"/>
        <v>0</v>
      </c>
      <c r="Y18" s="97" t="str">
        <f t="shared" si="11"/>
        <v/>
      </c>
      <c r="Z18" s="96">
        <f>(((((((((Z8)+(Z9))+(Z10))+(Z11))+(Z12))+(Z13))+(Z14))+(Z15))+(Z16))+(Z17)</f>
        <v>0</v>
      </c>
      <c r="AA18" s="96">
        <f>(((((((((AA8)+(AA9))+(AA10))+(AA11))+(AA12))+(AA13))+(AA14))+(AA15))+(AA16))+(AA17)</f>
        <v>0</v>
      </c>
      <c r="AB18" s="96">
        <f t="shared" si="12"/>
        <v>0</v>
      </c>
      <c r="AC18" s="97" t="str">
        <f t="shared" si="13"/>
        <v/>
      </c>
      <c r="AD18" s="96">
        <f t="shared" si="14"/>
        <v>0</v>
      </c>
      <c r="AE18" s="96">
        <f t="shared" si="14"/>
        <v>0</v>
      </c>
      <c r="AF18" s="96">
        <f t="shared" si="15"/>
        <v>0</v>
      </c>
      <c r="AG18" s="97" t="str">
        <f t="shared" si="16"/>
        <v/>
      </c>
      <c r="AH18" s="96">
        <f t="shared" si="17"/>
        <v>0</v>
      </c>
      <c r="AI18" s="96">
        <f t="shared" si="17"/>
        <v>0</v>
      </c>
      <c r="AJ18" s="96">
        <f t="shared" si="18"/>
        <v>0</v>
      </c>
      <c r="AK18" s="97" t="str">
        <f t="shared" si="19"/>
        <v/>
      </c>
      <c r="AL18" s="96">
        <f>(((((((((AL8)+(AL9))+(AL10))+(AL11))+(AL12))+(AL13))+(AL14))+(AL15))+(AL16))+(AL17)</f>
        <v>205406.37000000002</v>
      </c>
      <c r="AM18" s="96">
        <f>(((((((((AM8)+(AM9))+(AM10))+(AM11))+(AM12))+(AM13))+(AM14))+(AM15))+(AM16))+(AM17)</f>
        <v>203014.19999999998</v>
      </c>
      <c r="AN18" s="96">
        <f t="shared" si="20"/>
        <v>2392.1700000000419</v>
      </c>
      <c r="AO18" s="97">
        <f t="shared" si="21"/>
        <v>1.0117832644218978</v>
      </c>
      <c r="AP18" s="96">
        <f t="shared" si="22"/>
        <v>205406.37000000002</v>
      </c>
      <c r="AQ18" s="96">
        <f t="shared" si="22"/>
        <v>203014.19999999998</v>
      </c>
      <c r="AR18" s="96">
        <f t="shared" si="23"/>
        <v>2392.1700000000419</v>
      </c>
      <c r="AS18" s="97">
        <f t="shared" si="24"/>
        <v>1.0117832644218978</v>
      </c>
    </row>
    <row r="19" spans="1:45" x14ac:dyDescent="0.35">
      <c r="A19" s="92" t="s">
        <v>325</v>
      </c>
      <c r="B19" s="93"/>
      <c r="C19" s="93"/>
      <c r="D19" s="94">
        <f t="shared" si="0"/>
        <v>0</v>
      </c>
      <c r="E19" s="95" t="str">
        <f t="shared" si="1"/>
        <v/>
      </c>
      <c r="F19" s="93"/>
      <c r="G19" s="93"/>
      <c r="H19" s="94">
        <f t="shared" si="2"/>
        <v>0</v>
      </c>
      <c r="I19" s="95" t="str">
        <f t="shared" si="3"/>
        <v/>
      </c>
      <c r="J19" s="93"/>
      <c r="K19" s="93"/>
      <c r="L19" s="94">
        <f t="shared" si="4"/>
        <v>0</v>
      </c>
      <c r="M19" s="95" t="str">
        <f t="shared" si="5"/>
        <v/>
      </c>
      <c r="N19" s="93"/>
      <c r="O19" s="93"/>
      <c r="P19" s="94">
        <f t="shared" si="6"/>
        <v>0</v>
      </c>
      <c r="Q19" s="95" t="str">
        <f t="shared" si="7"/>
        <v/>
      </c>
      <c r="R19" s="93"/>
      <c r="S19" s="93"/>
      <c r="T19" s="94">
        <f t="shared" si="8"/>
        <v>0</v>
      </c>
      <c r="U19" s="95" t="str">
        <f t="shared" si="9"/>
        <v/>
      </c>
      <c r="V19" s="93"/>
      <c r="W19" s="93"/>
      <c r="X19" s="94">
        <f t="shared" si="10"/>
        <v>0</v>
      </c>
      <c r="Y19" s="95" t="str">
        <f t="shared" si="11"/>
        <v/>
      </c>
      <c r="Z19" s="93"/>
      <c r="AA19" s="93"/>
      <c r="AB19" s="94">
        <f t="shared" si="12"/>
        <v>0</v>
      </c>
      <c r="AC19" s="95" t="str">
        <f t="shared" si="13"/>
        <v/>
      </c>
      <c r="AD19" s="94">
        <f t="shared" si="14"/>
        <v>0</v>
      </c>
      <c r="AE19" s="94">
        <f t="shared" si="14"/>
        <v>0</v>
      </c>
      <c r="AF19" s="94">
        <f t="shared" si="15"/>
        <v>0</v>
      </c>
      <c r="AG19" s="95" t="str">
        <f t="shared" si="16"/>
        <v/>
      </c>
      <c r="AH19" s="94">
        <f t="shared" si="17"/>
        <v>0</v>
      </c>
      <c r="AI19" s="94">
        <f t="shared" si="17"/>
        <v>0</v>
      </c>
      <c r="AJ19" s="94">
        <f t="shared" si="18"/>
        <v>0</v>
      </c>
      <c r="AK19" s="95" t="str">
        <f t="shared" si="19"/>
        <v/>
      </c>
      <c r="AL19" s="93"/>
      <c r="AM19" s="93"/>
      <c r="AN19" s="94">
        <f t="shared" si="20"/>
        <v>0</v>
      </c>
      <c r="AO19" s="95" t="str">
        <f t="shared" si="21"/>
        <v/>
      </c>
      <c r="AP19" s="94">
        <f t="shared" si="22"/>
        <v>0</v>
      </c>
      <c r="AQ19" s="94">
        <f t="shared" si="22"/>
        <v>0</v>
      </c>
      <c r="AR19" s="94">
        <f t="shared" si="23"/>
        <v>0</v>
      </c>
      <c r="AS19" s="95" t="str">
        <f t="shared" si="24"/>
        <v/>
      </c>
    </row>
    <row r="20" spans="1:45" x14ac:dyDescent="0.35">
      <c r="A20" s="92" t="s">
        <v>326</v>
      </c>
      <c r="B20" s="93"/>
      <c r="C20" s="93"/>
      <c r="D20" s="94">
        <f t="shared" si="0"/>
        <v>0</v>
      </c>
      <c r="E20" s="95" t="str">
        <f t="shared" si="1"/>
        <v/>
      </c>
      <c r="F20" s="93"/>
      <c r="G20" s="93"/>
      <c r="H20" s="94">
        <f t="shared" si="2"/>
        <v>0</v>
      </c>
      <c r="I20" s="95" t="str">
        <f t="shared" si="3"/>
        <v/>
      </c>
      <c r="J20" s="93"/>
      <c r="K20" s="93"/>
      <c r="L20" s="94">
        <f t="shared" si="4"/>
        <v>0</v>
      </c>
      <c r="M20" s="95" t="str">
        <f t="shared" si="5"/>
        <v/>
      </c>
      <c r="N20" s="93"/>
      <c r="O20" s="93"/>
      <c r="P20" s="94">
        <f t="shared" si="6"/>
        <v>0</v>
      </c>
      <c r="Q20" s="95" t="str">
        <f t="shared" si="7"/>
        <v/>
      </c>
      <c r="R20" s="93"/>
      <c r="S20" s="93"/>
      <c r="T20" s="94">
        <f t="shared" si="8"/>
        <v>0</v>
      </c>
      <c r="U20" s="95" t="str">
        <f t="shared" si="9"/>
        <v/>
      </c>
      <c r="V20" s="93"/>
      <c r="W20" s="93"/>
      <c r="X20" s="94">
        <f t="shared" si="10"/>
        <v>0</v>
      </c>
      <c r="Y20" s="95" t="str">
        <f t="shared" si="11"/>
        <v/>
      </c>
      <c r="Z20" s="93"/>
      <c r="AA20" s="93"/>
      <c r="AB20" s="94">
        <f t="shared" si="12"/>
        <v>0</v>
      </c>
      <c r="AC20" s="95" t="str">
        <f t="shared" si="13"/>
        <v/>
      </c>
      <c r="AD20" s="94">
        <f t="shared" si="14"/>
        <v>0</v>
      </c>
      <c r="AE20" s="94">
        <f t="shared" si="14"/>
        <v>0</v>
      </c>
      <c r="AF20" s="94">
        <f t="shared" si="15"/>
        <v>0</v>
      </c>
      <c r="AG20" s="95" t="str">
        <f t="shared" si="16"/>
        <v/>
      </c>
      <c r="AH20" s="94">
        <f t="shared" si="17"/>
        <v>0</v>
      </c>
      <c r="AI20" s="94">
        <f t="shared" si="17"/>
        <v>0</v>
      </c>
      <c r="AJ20" s="94">
        <f t="shared" si="18"/>
        <v>0</v>
      </c>
      <c r="AK20" s="95" t="str">
        <f t="shared" si="19"/>
        <v/>
      </c>
      <c r="AL20" s="93"/>
      <c r="AM20" s="93"/>
      <c r="AN20" s="94">
        <f t="shared" si="20"/>
        <v>0</v>
      </c>
      <c r="AO20" s="95" t="str">
        <f t="shared" si="21"/>
        <v/>
      </c>
      <c r="AP20" s="94">
        <f t="shared" si="22"/>
        <v>0</v>
      </c>
      <c r="AQ20" s="94">
        <f t="shared" si="22"/>
        <v>0</v>
      </c>
      <c r="AR20" s="94">
        <f t="shared" si="23"/>
        <v>0</v>
      </c>
      <c r="AS20" s="95" t="str">
        <f t="shared" si="24"/>
        <v/>
      </c>
    </row>
    <row r="21" spans="1:45" x14ac:dyDescent="0.35">
      <c r="A21" s="92" t="s">
        <v>327</v>
      </c>
      <c r="B21" s="93"/>
      <c r="C21" s="93"/>
      <c r="D21" s="94">
        <f t="shared" si="0"/>
        <v>0</v>
      </c>
      <c r="E21" s="95" t="str">
        <f t="shared" si="1"/>
        <v/>
      </c>
      <c r="F21" s="93"/>
      <c r="G21" s="94">
        <f>0</f>
        <v>0</v>
      </c>
      <c r="H21" s="94">
        <f t="shared" si="2"/>
        <v>0</v>
      </c>
      <c r="I21" s="95" t="str">
        <f t="shared" si="3"/>
        <v/>
      </c>
      <c r="J21" s="93"/>
      <c r="K21" s="93"/>
      <c r="L21" s="94">
        <f t="shared" si="4"/>
        <v>0</v>
      </c>
      <c r="M21" s="95" t="str">
        <f t="shared" si="5"/>
        <v/>
      </c>
      <c r="N21" s="93"/>
      <c r="O21" s="93"/>
      <c r="P21" s="94">
        <f t="shared" si="6"/>
        <v>0</v>
      </c>
      <c r="Q21" s="95" t="str">
        <f t="shared" si="7"/>
        <v/>
      </c>
      <c r="R21" s="93"/>
      <c r="S21" s="93"/>
      <c r="T21" s="94">
        <f t="shared" si="8"/>
        <v>0</v>
      </c>
      <c r="U21" s="95" t="str">
        <f t="shared" si="9"/>
        <v/>
      </c>
      <c r="V21" s="93"/>
      <c r="W21" s="93"/>
      <c r="X21" s="94">
        <f t="shared" si="10"/>
        <v>0</v>
      </c>
      <c r="Y21" s="95" t="str">
        <f t="shared" si="11"/>
        <v/>
      </c>
      <c r="Z21" s="93"/>
      <c r="AA21" s="93"/>
      <c r="AB21" s="94">
        <f t="shared" si="12"/>
        <v>0</v>
      </c>
      <c r="AC21" s="95" t="str">
        <f t="shared" si="13"/>
        <v/>
      </c>
      <c r="AD21" s="94">
        <f t="shared" si="14"/>
        <v>0</v>
      </c>
      <c r="AE21" s="94">
        <f t="shared" si="14"/>
        <v>0</v>
      </c>
      <c r="AF21" s="94">
        <f t="shared" si="15"/>
        <v>0</v>
      </c>
      <c r="AG21" s="95" t="str">
        <f t="shared" si="16"/>
        <v/>
      </c>
      <c r="AH21" s="94">
        <f t="shared" si="17"/>
        <v>0</v>
      </c>
      <c r="AI21" s="94">
        <f t="shared" si="17"/>
        <v>0</v>
      </c>
      <c r="AJ21" s="94">
        <f t="shared" si="18"/>
        <v>0</v>
      </c>
      <c r="AK21" s="95" t="str">
        <f t="shared" si="19"/>
        <v/>
      </c>
      <c r="AL21" s="93"/>
      <c r="AM21" s="93"/>
      <c r="AN21" s="94">
        <f t="shared" si="20"/>
        <v>0</v>
      </c>
      <c r="AO21" s="95" t="str">
        <f t="shared" si="21"/>
        <v/>
      </c>
      <c r="AP21" s="94">
        <f t="shared" si="22"/>
        <v>0</v>
      </c>
      <c r="AQ21" s="94">
        <f t="shared" si="22"/>
        <v>0</v>
      </c>
      <c r="AR21" s="94">
        <f t="shared" si="23"/>
        <v>0</v>
      </c>
      <c r="AS21" s="95" t="str">
        <f t="shared" si="24"/>
        <v/>
      </c>
    </row>
    <row r="22" spans="1:45" x14ac:dyDescent="0.35">
      <c r="A22" s="92" t="s">
        <v>328</v>
      </c>
      <c r="B22" s="93"/>
      <c r="C22" s="93"/>
      <c r="D22" s="94">
        <f t="shared" si="0"/>
        <v>0</v>
      </c>
      <c r="E22" s="95" t="str">
        <f t="shared" si="1"/>
        <v/>
      </c>
      <c r="F22" s="93"/>
      <c r="G22" s="94">
        <f>0</f>
        <v>0</v>
      </c>
      <c r="H22" s="94">
        <f t="shared" si="2"/>
        <v>0</v>
      </c>
      <c r="I22" s="95" t="str">
        <f t="shared" si="3"/>
        <v/>
      </c>
      <c r="J22" s="93"/>
      <c r="K22" s="93"/>
      <c r="L22" s="94">
        <f t="shared" si="4"/>
        <v>0</v>
      </c>
      <c r="M22" s="95" t="str">
        <f t="shared" si="5"/>
        <v/>
      </c>
      <c r="N22" s="93"/>
      <c r="O22" s="93"/>
      <c r="P22" s="94">
        <f t="shared" si="6"/>
        <v>0</v>
      </c>
      <c r="Q22" s="95" t="str">
        <f t="shared" si="7"/>
        <v/>
      </c>
      <c r="R22" s="93"/>
      <c r="S22" s="93"/>
      <c r="T22" s="94">
        <f t="shared" si="8"/>
        <v>0</v>
      </c>
      <c r="U22" s="95" t="str">
        <f t="shared" si="9"/>
        <v/>
      </c>
      <c r="V22" s="93"/>
      <c r="W22" s="93"/>
      <c r="X22" s="94">
        <f t="shared" si="10"/>
        <v>0</v>
      </c>
      <c r="Y22" s="95" t="str">
        <f t="shared" si="11"/>
        <v/>
      </c>
      <c r="Z22" s="93"/>
      <c r="AA22" s="93"/>
      <c r="AB22" s="94">
        <f t="shared" si="12"/>
        <v>0</v>
      </c>
      <c r="AC22" s="95" t="str">
        <f t="shared" si="13"/>
        <v/>
      </c>
      <c r="AD22" s="94">
        <f t="shared" si="14"/>
        <v>0</v>
      </c>
      <c r="AE22" s="94">
        <f t="shared" si="14"/>
        <v>0</v>
      </c>
      <c r="AF22" s="94">
        <f t="shared" si="15"/>
        <v>0</v>
      </c>
      <c r="AG22" s="95" t="str">
        <f t="shared" si="16"/>
        <v/>
      </c>
      <c r="AH22" s="94">
        <f t="shared" si="17"/>
        <v>0</v>
      </c>
      <c r="AI22" s="94">
        <f t="shared" si="17"/>
        <v>0</v>
      </c>
      <c r="AJ22" s="94">
        <f t="shared" si="18"/>
        <v>0</v>
      </c>
      <c r="AK22" s="95" t="str">
        <f t="shared" si="19"/>
        <v/>
      </c>
      <c r="AL22" s="93"/>
      <c r="AM22" s="93"/>
      <c r="AN22" s="94">
        <f t="shared" si="20"/>
        <v>0</v>
      </c>
      <c r="AO22" s="95" t="str">
        <f t="shared" si="21"/>
        <v/>
      </c>
      <c r="AP22" s="94">
        <f t="shared" si="22"/>
        <v>0</v>
      </c>
      <c r="AQ22" s="94">
        <f t="shared" si="22"/>
        <v>0</v>
      </c>
      <c r="AR22" s="94">
        <f t="shared" si="23"/>
        <v>0</v>
      </c>
      <c r="AS22" s="95" t="str">
        <f t="shared" si="24"/>
        <v/>
      </c>
    </row>
    <row r="23" spans="1:45" x14ac:dyDescent="0.35">
      <c r="A23" s="92" t="s">
        <v>329</v>
      </c>
      <c r="B23" s="96">
        <f>((B20)+(B21))+(B22)</f>
        <v>0</v>
      </c>
      <c r="C23" s="96">
        <f>((C20)+(C21))+(C22)</f>
        <v>0</v>
      </c>
      <c r="D23" s="96">
        <f t="shared" si="0"/>
        <v>0</v>
      </c>
      <c r="E23" s="97" t="str">
        <f t="shared" si="1"/>
        <v/>
      </c>
      <c r="F23" s="96">
        <f>((F20)+(F21))+(F22)</f>
        <v>0</v>
      </c>
      <c r="G23" s="96">
        <f>((G20)+(G21))+(G22)</f>
        <v>0</v>
      </c>
      <c r="H23" s="96">
        <f t="shared" si="2"/>
        <v>0</v>
      </c>
      <c r="I23" s="97" t="str">
        <f t="shared" si="3"/>
        <v/>
      </c>
      <c r="J23" s="96">
        <f>((J20)+(J21))+(J22)</f>
        <v>0</v>
      </c>
      <c r="K23" s="96">
        <f>((K20)+(K21))+(K22)</f>
        <v>0</v>
      </c>
      <c r="L23" s="96">
        <f t="shared" si="4"/>
        <v>0</v>
      </c>
      <c r="M23" s="97" t="str">
        <f t="shared" si="5"/>
        <v/>
      </c>
      <c r="N23" s="96">
        <f>((N20)+(N21))+(N22)</f>
        <v>0</v>
      </c>
      <c r="O23" s="96">
        <f>((O20)+(O21))+(O22)</f>
        <v>0</v>
      </c>
      <c r="P23" s="96">
        <f t="shared" si="6"/>
        <v>0</v>
      </c>
      <c r="Q23" s="97" t="str">
        <f t="shared" si="7"/>
        <v/>
      </c>
      <c r="R23" s="96">
        <f>((R20)+(R21))+(R22)</f>
        <v>0</v>
      </c>
      <c r="S23" s="96">
        <f>((S20)+(S21))+(S22)</f>
        <v>0</v>
      </c>
      <c r="T23" s="96">
        <f t="shared" si="8"/>
        <v>0</v>
      </c>
      <c r="U23" s="97" t="str">
        <f t="shared" si="9"/>
        <v/>
      </c>
      <c r="V23" s="96">
        <f>((V20)+(V21))+(V22)</f>
        <v>0</v>
      </c>
      <c r="W23" s="96">
        <f>((W20)+(W21))+(W22)</f>
        <v>0</v>
      </c>
      <c r="X23" s="96">
        <f t="shared" si="10"/>
        <v>0</v>
      </c>
      <c r="Y23" s="97" t="str">
        <f t="shared" si="11"/>
        <v/>
      </c>
      <c r="Z23" s="96">
        <f>((Z20)+(Z21))+(Z22)</f>
        <v>0</v>
      </c>
      <c r="AA23" s="96">
        <f>((AA20)+(AA21))+(AA22)</f>
        <v>0</v>
      </c>
      <c r="AB23" s="96">
        <f t="shared" si="12"/>
        <v>0</v>
      </c>
      <c r="AC23" s="97" t="str">
        <f t="shared" si="13"/>
        <v/>
      </c>
      <c r="AD23" s="96">
        <f t="shared" si="14"/>
        <v>0</v>
      </c>
      <c r="AE23" s="96">
        <f t="shared" si="14"/>
        <v>0</v>
      </c>
      <c r="AF23" s="96">
        <f t="shared" si="15"/>
        <v>0</v>
      </c>
      <c r="AG23" s="97" t="str">
        <f t="shared" si="16"/>
        <v/>
      </c>
      <c r="AH23" s="96">
        <f t="shared" si="17"/>
        <v>0</v>
      </c>
      <c r="AI23" s="96">
        <f t="shared" si="17"/>
        <v>0</v>
      </c>
      <c r="AJ23" s="96">
        <f t="shared" si="18"/>
        <v>0</v>
      </c>
      <c r="AK23" s="97" t="str">
        <f t="shared" si="19"/>
        <v/>
      </c>
      <c r="AL23" s="96">
        <f>((AL20)+(AL21))+(AL22)</f>
        <v>0</v>
      </c>
      <c r="AM23" s="96">
        <f>((AM20)+(AM21))+(AM22)</f>
        <v>0</v>
      </c>
      <c r="AN23" s="96">
        <f t="shared" si="20"/>
        <v>0</v>
      </c>
      <c r="AO23" s="97" t="str">
        <f t="shared" si="21"/>
        <v/>
      </c>
      <c r="AP23" s="96">
        <f t="shared" si="22"/>
        <v>0</v>
      </c>
      <c r="AQ23" s="96">
        <f t="shared" si="22"/>
        <v>0</v>
      </c>
      <c r="AR23" s="96">
        <f t="shared" si="23"/>
        <v>0</v>
      </c>
      <c r="AS23" s="97" t="str">
        <f t="shared" si="24"/>
        <v/>
      </c>
    </row>
    <row r="24" spans="1:45" x14ac:dyDescent="0.35">
      <c r="A24" s="92" t="s">
        <v>330</v>
      </c>
      <c r="B24" s="93"/>
      <c r="C24" s="93"/>
      <c r="D24" s="94">
        <f t="shared" si="0"/>
        <v>0</v>
      </c>
      <c r="E24" s="95" t="str">
        <f t="shared" si="1"/>
        <v/>
      </c>
      <c r="F24" s="93"/>
      <c r="G24" s="93"/>
      <c r="H24" s="94">
        <f t="shared" si="2"/>
        <v>0</v>
      </c>
      <c r="I24" s="95" t="str">
        <f t="shared" si="3"/>
        <v/>
      </c>
      <c r="J24" s="93"/>
      <c r="K24" s="93"/>
      <c r="L24" s="94">
        <f t="shared" si="4"/>
        <v>0</v>
      </c>
      <c r="M24" s="95" t="str">
        <f t="shared" si="5"/>
        <v/>
      </c>
      <c r="N24" s="93"/>
      <c r="O24" s="93"/>
      <c r="P24" s="94">
        <f t="shared" si="6"/>
        <v>0</v>
      </c>
      <c r="Q24" s="95" t="str">
        <f t="shared" si="7"/>
        <v/>
      </c>
      <c r="R24" s="93"/>
      <c r="S24" s="93"/>
      <c r="T24" s="94">
        <f t="shared" si="8"/>
        <v>0</v>
      </c>
      <c r="U24" s="95" t="str">
        <f t="shared" si="9"/>
        <v/>
      </c>
      <c r="V24" s="93"/>
      <c r="W24" s="93"/>
      <c r="X24" s="94">
        <f t="shared" si="10"/>
        <v>0</v>
      </c>
      <c r="Y24" s="95" t="str">
        <f t="shared" si="11"/>
        <v/>
      </c>
      <c r="Z24" s="93"/>
      <c r="AA24" s="93"/>
      <c r="AB24" s="94">
        <f t="shared" si="12"/>
        <v>0</v>
      </c>
      <c r="AC24" s="95" t="str">
        <f t="shared" si="13"/>
        <v/>
      </c>
      <c r="AD24" s="94">
        <f t="shared" si="14"/>
        <v>0</v>
      </c>
      <c r="AE24" s="94">
        <f t="shared" si="14"/>
        <v>0</v>
      </c>
      <c r="AF24" s="94">
        <f t="shared" si="15"/>
        <v>0</v>
      </c>
      <c r="AG24" s="95" t="str">
        <f t="shared" si="16"/>
        <v/>
      </c>
      <c r="AH24" s="94">
        <f t="shared" si="17"/>
        <v>0</v>
      </c>
      <c r="AI24" s="94">
        <f t="shared" si="17"/>
        <v>0</v>
      </c>
      <c r="AJ24" s="94">
        <f t="shared" si="18"/>
        <v>0</v>
      </c>
      <c r="AK24" s="95" t="str">
        <f t="shared" si="19"/>
        <v/>
      </c>
      <c r="AL24" s="93"/>
      <c r="AM24" s="93"/>
      <c r="AN24" s="94">
        <f t="shared" si="20"/>
        <v>0</v>
      </c>
      <c r="AO24" s="95" t="str">
        <f t="shared" si="21"/>
        <v/>
      </c>
      <c r="AP24" s="94">
        <f t="shared" si="22"/>
        <v>0</v>
      </c>
      <c r="AQ24" s="94">
        <f t="shared" si="22"/>
        <v>0</v>
      </c>
      <c r="AR24" s="94">
        <f t="shared" si="23"/>
        <v>0</v>
      </c>
      <c r="AS24" s="95" t="str">
        <f t="shared" si="24"/>
        <v/>
      </c>
    </row>
    <row r="25" spans="1:45" x14ac:dyDescent="0.35">
      <c r="A25" s="92" t="s">
        <v>331</v>
      </c>
      <c r="B25" s="93"/>
      <c r="C25" s="93"/>
      <c r="D25" s="94">
        <f t="shared" si="0"/>
        <v>0</v>
      </c>
      <c r="E25" s="95" t="str">
        <f t="shared" si="1"/>
        <v/>
      </c>
      <c r="F25" s="93"/>
      <c r="G25" s="94">
        <f>16175.3</f>
        <v>16175.3</v>
      </c>
      <c r="H25" s="94">
        <f t="shared" si="2"/>
        <v>-16175.3</v>
      </c>
      <c r="I25" s="95">
        <f t="shared" si="3"/>
        <v>0</v>
      </c>
      <c r="J25" s="93"/>
      <c r="K25" s="93"/>
      <c r="L25" s="94">
        <f t="shared" si="4"/>
        <v>0</v>
      </c>
      <c r="M25" s="95" t="str">
        <f t="shared" si="5"/>
        <v/>
      </c>
      <c r="N25" s="94">
        <f>3789</f>
        <v>3789</v>
      </c>
      <c r="O25" s="93"/>
      <c r="P25" s="94">
        <f t="shared" si="6"/>
        <v>3789</v>
      </c>
      <c r="Q25" s="95" t="str">
        <f t="shared" si="7"/>
        <v/>
      </c>
      <c r="R25" s="93"/>
      <c r="S25" s="93"/>
      <c r="T25" s="94">
        <f t="shared" si="8"/>
        <v>0</v>
      </c>
      <c r="U25" s="95" t="str">
        <f t="shared" si="9"/>
        <v/>
      </c>
      <c r="V25" s="94">
        <f>14657</f>
        <v>14657</v>
      </c>
      <c r="W25" s="93"/>
      <c r="X25" s="94">
        <f t="shared" si="10"/>
        <v>14657</v>
      </c>
      <c r="Y25" s="95" t="str">
        <f t="shared" si="11"/>
        <v/>
      </c>
      <c r="Z25" s="93"/>
      <c r="AA25" s="93"/>
      <c r="AB25" s="94">
        <f t="shared" si="12"/>
        <v>0</v>
      </c>
      <c r="AC25" s="95" t="str">
        <f t="shared" si="13"/>
        <v/>
      </c>
      <c r="AD25" s="94">
        <f t="shared" si="14"/>
        <v>14657</v>
      </c>
      <c r="AE25" s="94">
        <f t="shared" si="14"/>
        <v>0</v>
      </c>
      <c r="AF25" s="94">
        <f t="shared" si="15"/>
        <v>14657</v>
      </c>
      <c r="AG25" s="95" t="str">
        <f t="shared" si="16"/>
        <v/>
      </c>
      <c r="AH25" s="94">
        <f t="shared" si="17"/>
        <v>18446</v>
      </c>
      <c r="AI25" s="94">
        <f t="shared" si="17"/>
        <v>16175.3</v>
      </c>
      <c r="AJ25" s="94">
        <f t="shared" si="18"/>
        <v>2270.7000000000007</v>
      </c>
      <c r="AK25" s="95">
        <f t="shared" si="19"/>
        <v>1.1403807039127558</v>
      </c>
      <c r="AL25" s="93"/>
      <c r="AM25" s="93"/>
      <c r="AN25" s="94">
        <f t="shared" si="20"/>
        <v>0</v>
      </c>
      <c r="AO25" s="95" t="str">
        <f t="shared" si="21"/>
        <v/>
      </c>
      <c r="AP25" s="94">
        <f t="shared" si="22"/>
        <v>18446</v>
      </c>
      <c r="AQ25" s="94">
        <f t="shared" si="22"/>
        <v>16175.3</v>
      </c>
      <c r="AR25" s="94">
        <f t="shared" si="23"/>
        <v>2270.7000000000007</v>
      </c>
      <c r="AS25" s="95">
        <f t="shared" si="24"/>
        <v>1.1403807039127558</v>
      </c>
    </row>
    <row r="26" spans="1:45" x14ac:dyDescent="0.35">
      <c r="A26" s="92" t="s">
        <v>451</v>
      </c>
      <c r="B26" s="93"/>
      <c r="C26" s="93"/>
      <c r="D26" s="94">
        <f t="shared" si="0"/>
        <v>0</v>
      </c>
      <c r="E26" s="95" t="str">
        <f t="shared" si="1"/>
        <v/>
      </c>
      <c r="F26" s="93"/>
      <c r="G26" s="94">
        <f>0</f>
        <v>0</v>
      </c>
      <c r="H26" s="94">
        <f t="shared" si="2"/>
        <v>0</v>
      </c>
      <c r="I26" s="95" t="str">
        <f t="shared" si="3"/>
        <v/>
      </c>
      <c r="J26" s="93"/>
      <c r="K26" s="93"/>
      <c r="L26" s="94">
        <f t="shared" si="4"/>
        <v>0</v>
      </c>
      <c r="M26" s="95" t="str">
        <f t="shared" si="5"/>
        <v/>
      </c>
      <c r="N26" s="93"/>
      <c r="O26" s="93"/>
      <c r="P26" s="94">
        <f t="shared" si="6"/>
        <v>0</v>
      </c>
      <c r="Q26" s="95" t="str">
        <f t="shared" si="7"/>
        <v/>
      </c>
      <c r="R26" s="93"/>
      <c r="S26" s="93"/>
      <c r="T26" s="94">
        <f t="shared" si="8"/>
        <v>0</v>
      </c>
      <c r="U26" s="95" t="str">
        <f t="shared" si="9"/>
        <v/>
      </c>
      <c r="V26" s="93"/>
      <c r="W26" s="93"/>
      <c r="X26" s="94">
        <f t="shared" si="10"/>
        <v>0</v>
      </c>
      <c r="Y26" s="95" t="str">
        <f t="shared" si="11"/>
        <v/>
      </c>
      <c r="Z26" s="93"/>
      <c r="AA26" s="93"/>
      <c r="AB26" s="94">
        <f t="shared" si="12"/>
        <v>0</v>
      </c>
      <c r="AC26" s="95" t="str">
        <f t="shared" si="13"/>
        <v/>
      </c>
      <c r="AD26" s="94">
        <f t="shared" si="14"/>
        <v>0</v>
      </c>
      <c r="AE26" s="94">
        <f t="shared" si="14"/>
        <v>0</v>
      </c>
      <c r="AF26" s="94">
        <f t="shared" si="15"/>
        <v>0</v>
      </c>
      <c r="AG26" s="95" t="str">
        <f t="shared" si="16"/>
        <v/>
      </c>
      <c r="AH26" s="94">
        <f t="shared" si="17"/>
        <v>0</v>
      </c>
      <c r="AI26" s="94">
        <f t="shared" si="17"/>
        <v>0</v>
      </c>
      <c r="AJ26" s="94">
        <f t="shared" si="18"/>
        <v>0</v>
      </c>
      <c r="AK26" s="95" t="str">
        <f t="shared" si="19"/>
        <v/>
      </c>
      <c r="AL26" s="93"/>
      <c r="AM26" s="93"/>
      <c r="AN26" s="94">
        <f t="shared" si="20"/>
        <v>0</v>
      </c>
      <c r="AO26" s="95" t="str">
        <f t="shared" si="21"/>
        <v/>
      </c>
      <c r="AP26" s="94">
        <f t="shared" si="22"/>
        <v>0</v>
      </c>
      <c r="AQ26" s="94">
        <f t="shared" si="22"/>
        <v>0</v>
      </c>
      <c r="AR26" s="94">
        <f t="shared" si="23"/>
        <v>0</v>
      </c>
      <c r="AS26" s="95" t="str">
        <f t="shared" si="24"/>
        <v/>
      </c>
    </row>
    <row r="27" spans="1:45" ht="22" x14ac:dyDescent="0.35">
      <c r="A27" s="92" t="s">
        <v>332</v>
      </c>
      <c r="B27" s="96">
        <f>((B24)+(B25))+(B26)</f>
        <v>0</v>
      </c>
      <c r="C27" s="96">
        <f>((C24)+(C25))+(C26)</f>
        <v>0</v>
      </c>
      <c r="D27" s="96">
        <f t="shared" si="0"/>
        <v>0</v>
      </c>
      <c r="E27" s="97" t="str">
        <f t="shared" si="1"/>
        <v/>
      </c>
      <c r="F27" s="96">
        <f>((F24)+(F25))+(F26)</f>
        <v>0</v>
      </c>
      <c r="G27" s="96">
        <f>((G24)+(G25))+(G26)</f>
        <v>16175.3</v>
      </c>
      <c r="H27" s="96">
        <f t="shared" si="2"/>
        <v>-16175.3</v>
      </c>
      <c r="I27" s="97">
        <f t="shared" si="3"/>
        <v>0</v>
      </c>
      <c r="J27" s="96">
        <f>((J24)+(J25))+(J26)</f>
        <v>0</v>
      </c>
      <c r="K27" s="96">
        <f>((K24)+(K25))+(K26)</f>
        <v>0</v>
      </c>
      <c r="L27" s="96">
        <f t="shared" si="4"/>
        <v>0</v>
      </c>
      <c r="M27" s="97" t="str">
        <f t="shared" si="5"/>
        <v/>
      </c>
      <c r="N27" s="96">
        <f>((N24)+(N25))+(N26)</f>
        <v>3789</v>
      </c>
      <c r="O27" s="96">
        <f>((O24)+(O25))+(O26)</f>
        <v>0</v>
      </c>
      <c r="P27" s="96">
        <f t="shared" si="6"/>
        <v>3789</v>
      </c>
      <c r="Q27" s="97" t="str">
        <f t="shared" si="7"/>
        <v/>
      </c>
      <c r="R27" s="96">
        <f>((R24)+(R25))+(R26)</f>
        <v>0</v>
      </c>
      <c r="S27" s="96">
        <f>((S24)+(S25))+(S26)</f>
        <v>0</v>
      </c>
      <c r="T27" s="96">
        <f t="shared" si="8"/>
        <v>0</v>
      </c>
      <c r="U27" s="97" t="str">
        <f t="shared" si="9"/>
        <v/>
      </c>
      <c r="V27" s="96">
        <f>((V24)+(V25))+(V26)</f>
        <v>14657</v>
      </c>
      <c r="W27" s="96">
        <f>((W24)+(W25))+(W26)</f>
        <v>0</v>
      </c>
      <c r="X27" s="96">
        <f t="shared" si="10"/>
        <v>14657</v>
      </c>
      <c r="Y27" s="97" t="str">
        <f t="shared" si="11"/>
        <v/>
      </c>
      <c r="Z27" s="96">
        <f>((Z24)+(Z25))+(Z26)</f>
        <v>0</v>
      </c>
      <c r="AA27" s="96">
        <f>((AA24)+(AA25))+(AA26)</f>
        <v>0</v>
      </c>
      <c r="AB27" s="96">
        <f t="shared" si="12"/>
        <v>0</v>
      </c>
      <c r="AC27" s="97" t="str">
        <f t="shared" si="13"/>
        <v/>
      </c>
      <c r="AD27" s="96">
        <f t="shared" si="14"/>
        <v>14657</v>
      </c>
      <c r="AE27" s="96">
        <f t="shared" si="14"/>
        <v>0</v>
      </c>
      <c r="AF27" s="96">
        <f t="shared" si="15"/>
        <v>14657</v>
      </c>
      <c r="AG27" s="97" t="str">
        <f t="shared" si="16"/>
        <v/>
      </c>
      <c r="AH27" s="96">
        <f t="shared" si="17"/>
        <v>18446</v>
      </c>
      <c r="AI27" s="96">
        <f t="shared" si="17"/>
        <v>16175.3</v>
      </c>
      <c r="AJ27" s="96">
        <f t="shared" si="18"/>
        <v>2270.7000000000007</v>
      </c>
      <c r="AK27" s="97">
        <f t="shared" si="19"/>
        <v>1.1403807039127558</v>
      </c>
      <c r="AL27" s="96">
        <f>((AL24)+(AL25))+(AL26)</f>
        <v>0</v>
      </c>
      <c r="AM27" s="96">
        <f>((AM24)+(AM25))+(AM26)</f>
        <v>0</v>
      </c>
      <c r="AN27" s="96">
        <f t="shared" si="20"/>
        <v>0</v>
      </c>
      <c r="AO27" s="97" t="str">
        <f t="shared" si="21"/>
        <v/>
      </c>
      <c r="AP27" s="96">
        <f t="shared" si="22"/>
        <v>18446</v>
      </c>
      <c r="AQ27" s="96">
        <f t="shared" si="22"/>
        <v>16175.3</v>
      </c>
      <c r="AR27" s="96">
        <f t="shared" si="23"/>
        <v>2270.7000000000007</v>
      </c>
      <c r="AS27" s="97">
        <f t="shared" si="24"/>
        <v>1.1403807039127558</v>
      </c>
    </row>
    <row r="28" spans="1:45" x14ac:dyDescent="0.35">
      <c r="A28" s="92" t="s">
        <v>333</v>
      </c>
      <c r="B28" s="96">
        <f>((B19)+(B23))+(B27)</f>
        <v>0</v>
      </c>
      <c r="C28" s="96">
        <f>((C19)+(C23))+(C27)</f>
        <v>0</v>
      </c>
      <c r="D28" s="96">
        <f t="shared" si="0"/>
        <v>0</v>
      </c>
      <c r="E28" s="97" t="str">
        <f t="shared" si="1"/>
        <v/>
      </c>
      <c r="F28" s="96">
        <f>((F19)+(F23))+(F27)</f>
        <v>0</v>
      </c>
      <c r="G28" s="96">
        <f>((G19)+(G23))+(G27)</f>
        <v>16175.3</v>
      </c>
      <c r="H28" s="96">
        <f t="shared" si="2"/>
        <v>-16175.3</v>
      </c>
      <c r="I28" s="97">
        <f t="shared" si="3"/>
        <v>0</v>
      </c>
      <c r="J28" s="96">
        <f>((J19)+(J23))+(J27)</f>
        <v>0</v>
      </c>
      <c r="K28" s="96">
        <f>((K19)+(K23))+(K27)</f>
        <v>0</v>
      </c>
      <c r="L28" s="96">
        <f t="shared" si="4"/>
        <v>0</v>
      </c>
      <c r="M28" s="97" t="str">
        <f t="shared" si="5"/>
        <v/>
      </c>
      <c r="N28" s="96">
        <f>((N19)+(N23))+(N27)</f>
        <v>3789</v>
      </c>
      <c r="O28" s="96">
        <f>((O19)+(O23))+(O27)</f>
        <v>0</v>
      </c>
      <c r="P28" s="96">
        <f t="shared" si="6"/>
        <v>3789</v>
      </c>
      <c r="Q28" s="97" t="str">
        <f t="shared" si="7"/>
        <v/>
      </c>
      <c r="R28" s="96">
        <f>((R19)+(R23))+(R27)</f>
        <v>0</v>
      </c>
      <c r="S28" s="96">
        <f>((S19)+(S23))+(S27)</f>
        <v>0</v>
      </c>
      <c r="T28" s="96">
        <f t="shared" si="8"/>
        <v>0</v>
      </c>
      <c r="U28" s="97" t="str">
        <f t="shared" si="9"/>
        <v/>
      </c>
      <c r="V28" s="96">
        <f>((V19)+(V23))+(V27)</f>
        <v>14657</v>
      </c>
      <c r="W28" s="96">
        <f>((W19)+(W23))+(W27)</f>
        <v>0</v>
      </c>
      <c r="X28" s="96">
        <f t="shared" si="10"/>
        <v>14657</v>
      </c>
      <c r="Y28" s="97" t="str">
        <f t="shared" si="11"/>
        <v/>
      </c>
      <c r="Z28" s="96">
        <f>((Z19)+(Z23))+(Z27)</f>
        <v>0</v>
      </c>
      <c r="AA28" s="96">
        <f>((AA19)+(AA23))+(AA27)</f>
        <v>0</v>
      </c>
      <c r="AB28" s="96">
        <f t="shared" si="12"/>
        <v>0</v>
      </c>
      <c r="AC28" s="97" t="str">
        <f t="shared" si="13"/>
        <v/>
      </c>
      <c r="AD28" s="96">
        <f t="shared" si="14"/>
        <v>14657</v>
      </c>
      <c r="AE28" s="96">
        <f t="shared" si="14"/>
        <v>0</v>
      </c>
      <c r="AF28" s="96">
        <f t="shared" si="15"/>
        <v>14657</v>
      </c>
      <c r="AG28" s="97" t="str">
        <f t="shared" si="16"/>
        <v/>
      </c>
      <c r="AH28" s="96">
        <f t="shared" si="17"/>
        <v>18446</v>
      </c>
      <c r="AI28" s="96">
        <f t="shared" si="17"/>
        <v>16175.3</v>
      </c>
      <c r="AJ28" s="96">
        <f t="shared" si="18"/>
        <v>2270.7000000000007</v>
      </c>
      <c r="AK28" s="97">
        <f t="shared" si="19"/>
        <v>1.1403807039127558</v>
      </c>
      <c r="AL28" s="96">
        <f>((AL19)+(AL23))+(AL27)</f>
        <v>0</v>
      </c>
      <c r="AM28" s="96">
        <f>((AM19)+(AM23))+(AM27)</f>
        <v>0</v>
      </c>
      <c r="AN28" s="96">
        <f t="shared" si="20"/>
        <v>0</v>
      </c>
      <c r="AO28" s="97" t="str">
        <f t="shared" si="21"/>
        <v/>
      </c>
      <c r="AP28" s="96">
        <f t="shared" si="22"/>
        <v>18446</v>
      </c>
      <c r="AQ28" s="96">
        <f t="shared" si="22"/>
        <v>16175.3</v>
      </c>
      <c r="AR28" s="96">
        <f t="shared" si="23"/>
        <v>2270.7000000000007</v>
      </c>
      <c r="AS28" s="97">
        <f t="shared" si="24"/>
        <v>1.1403807039127558</v>
      </c>
    </row>
    <row r="29" spans="1:45" x14ac:dyDescent="0.35">
      <c r="A29" s="92" t="s">
        <v>334</v>
      </c>
      <c r="B29" s="93"/>
      <c r="C29" s="93"/>
      <c r="D29" s="94">
        <f t="shared" si="0"/>
        <v>0</v>
      </c>
      <c r="E29" s="95" t="str">
        <f t="shared" si="1"/>
        <v/>
      </c>
      <c r="F29" s="93"/>
      <c r="G29" s="93"/>
      <c r="H29" s="94">
        <f t="shared" si="2"/>
        <v>0</v>
      </c>
      <c r="I29" s="95" t="str">
        <f t="shared" si="3"/>
        <v/>
      </c>
      <c r="J29" s="93"/>
      <c r="K29" s="93"/>
      <c r="L29" s="94">
        <f t="shared" si="4"/>
        <v>0</v>
      </c>
      <c r="M29" s="95" t="str">
        <f t="shared" si="5"/>
        <v/>
      </c>
      <c r="N29" s="93"/>
      <c r="O29" s="93"/>
      <c r="P29" s="94">
        <f t="shared" si="6"/>
        <v>0</v>
      </c>
      <c r="Q29" s="95" t="str">
        <f t="shared" si="7"/>
        <v/>
      </c>
      <c r="R29" s="93"/>
      <c r="S29" s="93"/>
      <c r="T29" s="94">
        <f t="shared" si="8"/>
        <v>0</v>
      </c>
      <c r="U29" s="95" t="str">
        <f t="shared" si="9"/>
        <v/>
      </c>
      <c r="V29" s="93"/>
      <c r="W29" s="93"/>
      <c r="X29" s="94">
        <f t="shared" si="10"/>
        <v>0</v>
      </c>
      <c r="Y29" s="95" t="str">
        <f t="shared" si="11"/>
        <v/>
      </c>
      <c r="Z29" s="93"/>
      <c r="AA29" s="93"/>
      <c r="AB29" s="94">
        <f t="shared" si="12"/>
        <v>0</v>
      </c>
      <c r="AC29" s="95" t="str">
        <f t="shared" si="13"/>
        <v/>
      </c>
      <c r="AD29" s="94">
        <f t="shared" si="14"/>
        <v>0</v>
      </c>
      <c r="AE29" s="94">
        <f t="shared" si="14"/>
        <v>0</v>
      </c>
      <c r="AF29" s="94">
        <f t="shared" si="15"/>
        <v>0</v>
      </c>
      <c r="AG29" s="95" t="str">
        <f t="shared" si="16"/>
        <v/>
      </c>
      <c r="AH29" s="94">
        <f t="shared" si="17"/>
        <v>0</v>
      </c>
      <c r="AI29" s="94">
        <f t="shared" si="17"/>
        <v>0</v>
      </c>
      <c r="AJ29" s="94">
        <f t="shared" si="18"/>
        <v>0</v>
      </c>
      <c r="AK29" s="95" t="str">
        <f t="shared" si="19"/>
        <v/>
      </c>
      <c r="AL29" s="94">
        <f>20800</f>
        <v>20800</v>
      </c>
      <c r="AM29" s="94">
        <f>10937.5</f>
        <v>10937.5</v>
      </c>
      <c r="AN29" s="94">
        <f t="shared" si="20"/>
        <v>9862.5</v>
      </c>
      <c r="AO29" s="95">
        <f t="shared" si="21"/>
        <v>1.9017142857142857</v>
      </c>
      <c r="AP29" s="94">
        <f t="shared" si="22"/>
        <v>20800</v>
      </c>
      <c r="AQ29" s="94">
        <f t="shared" si="22"/>
        <v>10937.5</v>
      </c>
      <c r="AR29" s="94">
        <f t="shared" si="23"/>
        <v>9862.5</v>
      </c>
      <c r="AS29" s="95">
        <f t="shared" si="24"/>
        <v>1.9017142857142857</v>
      </c>
    </row>
    <row r="30" spans="1:45" x14ac:dyDescent="0.35">
      <c r="A30" s="92" t="s">
        <v>335</v>
      </c>
      <c r="B30" s="93"/>
      <c r="C30" s="93"/>
      <c r="D30" s="94">
        <f t="shared" si="0"/>
        <v>0</v>
      </c>
      <c r="E30" s="95" t="str">
        <f t="shared" si="1"/>
        <v/>
      </c>
      <c r="F30" s="93"/>
      <c r="G30" s="93"/>
      <c r="H30" s="94">
        <f t="shared" si="2"/>
        <v>0</v>
      </c>
      <c r="I30" s="95" t="str">
        <f t="shared" si="3"/>
        <v/>
      </c>
      <c r="J30" s="93"/>
      <c r="K30" s="93"/>
      <c r="L30" s="94">
        <f t="shared" si="4"/>
        <v>0</v>
      </c>
      <c r="M30" s="95" t="str">
        <f t="shared" si="5"/>
        <v/>
      </c>
      <c r="N30" s="93"/>
      <c r="O30" s="93"/>
      <c r="P30" s="94">
        <f t="shared" si="6"/>
        <v>0</v>
      </c>
      <c r="Q30" s="95" t="str">
        <f t="shared" si="7"/>
        <v/>
      </c>
      <c r="R30" s="93"/>
      <c r="S30" s="93"/>
      <c r="T30" s="94">
        <f t="shared" si="8"/>
        <v>0</v>
      </c>
      <c r="U30" s="95" t="str">
        <f t="shared" si="9"/>
        <v/>
      </c>
      <c r="V30" s="93"/>
      <c r="W30" s="93"/>
      <c r="X30" s="94">
        <f t="shared" si="10"/>
        <v>0</v>
      </c>
      <c r="Y30" s="95" t="str">
        <f t="shared" si="11"/>
        <v/>
      </c>
      <c r="Z30" s="93"/>
      <c r="AA30" s="93"/>
      <c r="AB30" s="94">
        <f t="shared" si="12"/>
        <v>0</v>
      </c>
      <c r="AC30" s="95" t="str">
        <f t="shared" si="13"/>
        <v/>
      </c>
      <c r="AD30" s="94">
        <f t="shared" si="14"/>
        <v>0</v>
      </c>
      <c r="AE30" s="94">
        <f t="shared" si="14"/>
        <v>0</v>
      </c>
      <c r="AF30" s="94">
        <f t="shared" si="15"/>
        <v>0</v>
      </c>
      <c r="AG30" s="95" t="str">
        <f t="shared" si="16"/>
        <v/>
      </c>
      <c r="AH30" s="94">
        <f t="shared" si="17"/>
        <v>0</v>
      </c>
      <c r="AI30" s="94">
        <f t="shared" si="17"/>
        <v>0</v>
      </c>
      <c r="AJ30" s="94">
        <f t="shared" si="18"/>
        <v>0</v>
      </c>
      <c r="AK30" s="95" t="str">
        <f t="shared" si="19"/>
        <v/>
      </c>
      <c r="AL30" s="93"/>
      <c r="AM30" s="93"/>
      <c r="AN30" s="94">
        <f t="shared" si="20"/>
        <v>0</v>
      </c>
      <c r="AO30" s="95" t="str">
        <f t="shared" si="21"/>
        <v/>
      </c>
      <c r="AP30" s="94">
        <f t="shared" si="22"/>
        <v>0</v>
      </c>
      <c r="AQ30" s="94">
        <f t="shared" si="22"/>
        <v>0</v>
      </c>
      <c r="AR30" s="94">
        <f t="shared" si="23"/>
        <v>0</v>
      </c>
      <c r="AS30" s="95" t="str">
        <f t="shared" si="24"/>
        <v/>
      </c>
    </row>
    <row r="31" spans="1:45" x14ac:dyDescent="0.35">
      <c r="A31" s="92" t="s">
        <v>336</v>
      </c>
      <c r="B31" s="93"/>
      <c r="C31" s="94">
        <f>62.5</f>
        <v>62.5</v>
      </c>
      <c r="D31" s="94">
        <f t="shared" si="0"/>
        <v>-62.5</v>
      </c>
      <c r="E31" s="95">
        <f t="shared" si="1"/>
        <v>0</v>
      </c>
      <c r="F31" s="93"/>
      <c r="G31" s="93"/>
      <c r="H31" s="94">
        <f t="shared" si="2"/>
        <v>0</v>
      </c>
      <c r="I31" s="95" t="str">
        <f t="shared" si="3"/>
        <v/>
      </c>
      <c r="J31" s="93"/>
      <c r="K31" s="93"/>
      <c r="L31" s="94">
        <f t="shared" si="4"/>
        <v>0</v>
      </c>
      <c r="M31" s="95" t="str">
        <f t="shared" si="5"/>
        <v/>
      </c>
      <c r="N31" s="93"/>
      <c r="O31" s="93"/>
      <c r="P31" s="94">
        <f t="shared" si="6"/>
        <v>0</v>
      </c>
      <c r="Q31" s="95" t="str">
        <f t="shared" si="7"/>
        <v/>
      </c>
      <c r="R31" s="93"/>
      <c r="S31" s="93"/>
      <c r="T31" s="94">
        <f t="shared" si="8"/>
        <v>0</v>
      </c>
      <c r="U31" s="95" t="str">
        <f t="shared" si="9"/>
        <v/>
      </c>
      <c r="V31" s="93"/>
      <c r="W31" s="93"/>
      <c r="X31" s="94">
        <f t="shared" si="10"/>
        <v>0</v>
      </c>
      <c r="Y31" s="95" t="str">
        <f t="shared" si="11"/>
        <v/>
      </c>
      <c r="Z31" s="93"/>
      <c r="AA31" s="93"/>
      <c r="AB31" s="94">
        <f t="shared" si="12"/>
        <v>0</v>
      </c>
      <c r="AC31" s="95" t="str">
        <f t="shared" si="13"/>
        <v/>
      </c>
      <c r="AD31" s="94">
        <f t="shared" si="14"/>
        <v>0</v>
      </c>
      <c r="AE31" s="94">
        <f t="shared" si="14"/>
        <v>0</v>
      </c>
      <c r="AF31" s="94">
        <f t="shared" si="15"/>
        <v>0</v>
      </c>
      <c r="AG31" s="95" t="str">
        <f t="shared" si="16"/>
        <v/>
      </c>
      <c r="AH31" s="94">
        <f t="shared" si="17"/>
        <v>0</v>
      </c>
      <c r="AI31" s="94">
        <f t="shared" si="17"/>
        <v>0</v>
      </c>
      <c r="AJ31" s="94">
        <f t="shared" si="18"/>
        <v>0</v>
      </c>
      <c r="AK31" s="95" t="str">
        <f t="shared" si="19"/>
        <v/>
      </c>
      <c r="AL31" s="93"/>
      <c r="AM31" s="93"/>
      <c r="AN31" s="94">
        <f t="shared" si="20"/>
        <v>0</v>
      </c>
      <c r="AO31" s="95" t="str">
        <f t="shared" si="21"/>
        <v/>
      </c>
      <c r="AP31" s="94">
        <f t="shared" si="22"/>
        <v>0</v>
      </c>
      <c r="AQ31" s="94">
        <f t="shared" si="22"/>
        <v>62.5</v>
      </c>
      <c r="AR31" s="94">
        <f t="shared" si="23"/>
        <v>-62.5</v>
      </c>
      <c r="AS31" s="95">
        <f t="shared" si="24"/>
        <v>0</v>
      </c>
    </row>
    <row r="32" spans="1:45" x14ac:dyDescent="0.35">
      <c r="A32" s="92" t="s">
        <v>337</v>
      </c>
      <c r="B32" s="94">
        <f>163.4</f>
        <v>163.4</v>
      </c>
      <c r="C32" s="94">
        <f>729.15</f>
        <v>729.15</v>
      </c>
      <c r="D32" s="94">
        <f t="shared" si="0"/>
        <v>-565.75</v>
      </c>
      <c r="E32" s="95">
        <f t="shared" si="1"/>
        <v>0.22409655077830351</v>
      </c>
      <c r="F32" s="93"/>
      <c r="G32" s="93"/>
      <c r="H32" s="94">
        <f t="shared" si="2"/>
        <v>0</v>
      </c>
      <c r="I32" s="95" t="str">
        <f t="shared" si="3"/>
        <v/>
      </c>
      <c r="J32" s="93"/>
      <c r="K32" s="93"/>
      <c r="L32" s="94">
        <f t="shared" si="4"/>
        <v>0</v>
      </c>
      <c r="M32" s="95" t="str">
        <f t="shared" si="5"/>
        <v/>
      </c>
      <c r="N32" s="93"/>
      <c r="O32" s="93"/>
      <c r="P32" s="94">
        <f t="shared" si="6"/>
        <v>0</v>
      </c>
      <c r="Q32" s="95" t="str">
        <f t="shared" si="7"/>
        <v/>
      </c>
      <c r="R32" s="93"/>
      <c r="S32" s="93"/>
      <c r="T32" s="94">
        <f t="shared" si="8"/>
        <v>0</v>
      </c>
      <c r="U32" s="95" t="str">
        <f t="shared" si="9"/>
        <v/>
      </c>
      <c r="V32" s="93"/>
      <c r="W32" s="93"/>
      <c r="X32" s="94">
        <f t="shared" si="10"/>
        <v>0</v>
      </c>
      <c r="Y32" s="95" t="str">
        <f t="shared" si="11"/>
        <v/>
      </c>
      <c r="Z32" s="93"/>
      <c r="AA32" s="93"/>
      <c r="AB32" s="94">
        <f t="shared" si="12"/>
        <v>0</v>
      </c>
      <c r="AC32" s="95" t="str">
        <f t="shared" si="13"/>
        <v/>
      </c>
      <c r="AD32" s="94">
        <f t="shared" si="14"/>
        <v>0</v>
      </c>
      <c r="AE32" s="94">
        <f t="shared" si="14"/>
        <v>0</v>
      </c>
      <c r="AF32" s="94">
        <f t="shared" si="15"/>
        <v>0</v>
      </c>
      <c r="AG32" s="95" t="str">
        <f t="shared" si="16"/>
        <v/>
      </c>
      <c r="AH32" s="94">
        <f t="shared" si="17"/>
        <v>0</v>
      </c>
      <c r="AI32" s="94">
        <f t="shared" si="17"/>
        <v>0</v>
      </c>
      <c r="AJ32" s="94">
        <f t="shared" si="18"/>
        <v>0</v>
      </c>
      <c r="AK32" s="95" t="str">
        <f t="shared" si="19"/>
        <v/>
      </c>
      <c r="AL32" s="93"/>
      <c r="AM32" s="93"/>
      <c r="AN32" s="94">
        <f t="shared" si="20"/>
        <v>0</v>
      </c>
      <c r="AO32" s="95" t="str">
        <f t="shared" si="21"/>
        <v/>
      </c>
      <c r="AP32" s="94">
        <f t="shared" si="22"/>
        <v>163.4</v>
      </c>
      <c r="AQ32" s="94">
        <f t="shared" si="22"/>
        <v>729.15</v>
      </c>
      <c r="AR32" s="94">
        <f t="shared" si="23"/>
        <v>-565.75</v>
      </c>
      <c r="AS32" s="95">
        <f t="shared" si="24"/>
        <v>0.22409655077830351</v>
      </c>
    </row>
    <row r="33" spans="1:45" x14ac:dyDescent="0.35">
      <c r="A33" s="92" t="s">
        <v>338</v>
      </c>
      <c r="B33" s="94">
        <f>877.27</f>
        <v>877.27</v>
      </c>
      <c r="C33" s="94">
        <f>625</f>
        <v>625</v>
      </c>
      <c r="D33" s="94">
        <f t="shared" si="0"/>
        <v>252.26999999999998</v>
      </c>
      <c r="E33" s="95">
        <f t="shared" si="1"/>
        <v>1.403632</v>
      </c>
      <c r="F33" s="93"/>
      <c r="G33" s="93"/>
      <c r="H33" s="94">
        <f t="shared" si="2"/>
        <v>0</v>
      </c>
      <c r="I33" s="95" t="str">
        <f t="shared" si="3"/>
        <v/>
      </c>
      <c r="J33" s="93"/>
      <c r="K33" s="93"/>
      <c r="L33" s="94">
        <f t="shared" si="4"/>
        <v>0</v>
      </c>
      <c r="M33" s="95" t="str">
        <f t="shared" si="5"/>
        <v/>
      </c>
      <c r="N33" s="93"/>
      <c r="O33" s="93"/>
      <c r="P33" s="94">
        <f t="shared" si="6"/>
        <v>0</v>
      </c>
      <c r="Q33" s="95" t="str">
        <f t="shared" si="7"/>
        <v/>
      </c>
      <c r="R33" s="93"/>
      <c r="S33" s="93"/>
      <c r="T33" s="94">
        <f t="shared" si="8"/>
        <v>0</v>
      </c>
      <c r="U33" s="95" t="str">
        <f t="shared" si="9"/>
        <v/>
      </c>
      <c r="V33" s="93"/>
      <c r="W33" s="93"/>
      <c r="X33" s="94">
        <f t="shared" si="10"/>
        <v>0</v>
      </c>
      <c r="Y33" s="95" t="str">
        <f t="shared" si="11"/>
        <v/>
      </c>
      <c r="Z33" s="93"/>
      <c r="AA33" s="93"/>
      <c r="AB33" s="94">
        <f t="shared" si="12"/>
        <v>0</v>
      </c>
      <c r="AC33" s="95" t="str">
        <f t="shared" si="13"/>
        <v/>
      </c>
      <c r="AD33" s="94">
        <f t="shared" si="14"/>
        <v>0</v>
      </c>
      <c r="AE33" s="94">
        <f t="shared" si="14"/>
        <v>0</v>
      </c>
      <c r="AF33" s="94">
        <f t="shared" si="15"/>
        <v>0</v>
      </c>
      <c r="AG33" s="95" t="str">
        <f t="shared" si="16"/>
        <v/>
      </c>
      <c r="AH33" s="94">
        <f t="shared" si="17"/>
        <v>0</v>
      </c>
      <c r="AI33" s="94">
        <f t="shared" si="17"/>
        <v>0</v>
      </c>
      <c r="AJ33" s="94">
        <f t="shared" si="18"/>
        <v>0</v>
      </c>
      <c r="AK33" s="95" t="str">
        <f t="shared" si="19"/>
        <v/>
      </c>
      <c r="AL33" s="93"/>
      <c r="AM33" s="93"/>
      <c r="AN33" s="94">
        <f t="shared" si="20"/>
        <v>0</v>
      </c>
      <c r="AO33" s="95" t="str">
        <f t="shared" si="21"/>
        <v/>
      </c>
      <c r="AP33" s="94">
        <f t="shared" si="22"/>
        <v>877.27</v>
      </c>
      <c r="AQ33" s="94">
        <f t="shared" si="22"/>
        <v>625</v>
      </c>
      <c r="AR33" s="94">
        <f t="shared" si="23"/>
        <v>252.26999999999998</v>
      </c>
      <c r="AS33" s="95">
        <f t="shared" si="24"/>
        <v>1.403632</v>
      </c>
    </row>
    <row r="34" spans="1:45" x14ac:dyDescent="0.35">
      <c r="A34" s="92" t="s">
        <v>339</v>
      </c>
      <c r="B34" s="93"/>
      <c r="C34" s="94">
        <f>0</f>
        <v>0</v>
      </c>
      <c r="D34" s="94">
        <f t="shared" si="0"/>
        <v>0</v>
      </c>
      <c r="E34" s="95" t="str">
        <f t="shared" si="1"/>
        <v/>
      </c>
      <c r="F34" s="93"/>
      <c r="G34" s="93"/>
      <c r="H34" s="94">
        <f t="shared" si="2"/>
        <v>0</v>
      </c>
      <c r="I34" s="95" t="str">
        <f t="shared" si="3"/>
        <v/>
      </c>
      <c r="J34" s="93"/>
      <c r="K34" s="93"/>
      <c r="L34" s="94">
        <f t="shared" si="4"/>
        <v>0</v>
      </c>
      <c r="M34" s="95" t="str">
        <f t="shared" si="5"/>
        <v/>
      </c>
      <c r="N34" s="93"/>
      <c r="O34" s="93"/>
      <c r="P34" s="94">
        <f t="shared" si="6"/>
        <v>0</v>
      </c>
      <c r="Q34" s="95" t="str">
        <f t="shared" si="7"/>
        <v/>
      </c>
      <c r="R34" s="93"/>
      <c r="S34" s="93"/>
      <c r="T34" s="94">
        <f t="shared" si="8"/>
        <v>0</v>
      </c>
      <c r="U34" s="95" t="str">
        <f t="shared" si="9"/>
        <v/>
      </c>
      <c r="V34" s="93"/>
      <c r="W34" s="93"/>
      <c r="X34" s="94">
        <f t="shared" si="10"/>
        <v>0</v>
      </c>
      <c r="Y34" s="95" t="str">
        <f t="shared" si="11"/>
        <v/>
      </c>
      <c r="Z34" s="93"/>
      <c r="AA34" s="93"/>
      <c r="AB34" s="94">
        <f t="shared" si="12"/>
        <v>0</v>
      </c>
      <c r="AC34" s="95" t="str">
        <f t="shared" si="13"/>
        <v/>
      </c>
      <c r="AD34" s="94">
        <f t="shared" si="14"/>
        <v>0</v>
      </c>
      <c r="AE34" s="94">
        <f t="shared" si="14"/>
        <v>0</v>
      </c>
      <c r="AF34" s="94">
        <f t="shared" si="15"/>
        <v>0</v>
      </c>
      <c r="AG34" s="95" t="str">
        <f t="shared" si="16"/>
        <v/>
      </c>
      <c r="AH34" s="94">
        <f t="shared" si="17"/>
        <v>0</v>
      </c>
      <c r="AI34" s="94">
        <f t="shared" si="17"/>
        <v>0</v>
      </c>
      <c r="AJ34" s="94">
        <f t="shared" si="18"/>
        <v>0</v>
      </c>
      <c r="AK34" s="95" t="str">
        <f t="shared" si="19"/>
        <v/>
      </c>
      <c r="AL34" s="93"/>
      <c r="AM34" s="93"/>
      <c r="AN34" s="94">
        <f t="shared" si="20"/>
        <v>0</v>
      </c>
      <c r="AO34" s="95" t="str">
        <f t="shared" si="21"/>
        <v/>
      </c>
      <c r="AP34" s="94">
        <f t="shared" si="22"/>
        <v>0</v>
      </c>
      <c r="AQ34" s="94">
        <f t="shared" si="22"/>
        <v>0</v>
      </c>
      <c r="AR34" s="94">
        <f t="shared" si="23"/>
        <v>0</v>
      </c>
      <c r="AS34" s="95" t="str">
        <f t="shared" si="24"/>
        <v/>
      </c>
    </row>
    <row r="35" spans="1:45" x14ac:dyDescent="0.35">
      <c r="A35" s="92" t="s">
        <v>340</v>
      </c>
      <c r="B35" s="93"/>
      <c r="C35" s="94">
        <f>0</f>
        <v>0</v>
      </c>
      <c r="D35" s="94">
        <f t="shared" si="0"/>
        <v>0</v>
      </c>
      <c r="E35" s="95" t="str">
        <f t="shared" si="1"/>
        <v/>
      </c>
      <c r="F35" s="93"/>
      <c r="G35" s="93"/>
      <c r="H35" s="94">
        <f t="shared" si="2"/>
        <v>0</v>
      </c>
      <c r="I35" s="95" t="str">
        <f t="shared" si="3"/>
        <v/>
      </c>
      <c r="J35" s="94">
        <f>25</f>
        <v>25</v>
      </c>
      <c r="K35" s="93"/>
      <c r="L35" s="94">
        <f t="shared" si="4"/>
        <v>25</v>
      </c>
      <c r="M35" s="95" t="str">
        <f t="shared" si="5"/>
        <v/>
      </c>
      <c r="N35" s="93"/>
      <c r="O35" s="93"/>
      <c r="P35" s="94">
        <f t="shared" si="6"/>
        <v>0</v>
      </c>
      <c r="Q35" s="95" t="str">
        <f t="shared" si="7"/>
        <v/>
      </c>
      <c r="R35" s="93"/>
      <c r="S35" s="93"/>
      <c r="T35" s="94">
        <f t="shared" si="8"/>
        <v>0</v>
      </c>
      <c r="U35" s="95" t="str">
        <f t="shared" si="9"/>
        <v/>
      </c>
      <c r="V35" s="94">
        <f>25</f>
        <v>25</v>
      </c>
      <c r="W35" s="93"/>
      <c r="X35" s="94">
        <f t="shared" si="10"/>
        <v>25</v>
      </c>
      <c r="Y35" s="95" t="str">
        <f t="shared" si="11"/>
        <v/>
      </c>
      <c r="Z35" s="93"/>
      <c r="AA35" s="93"/>
      <c r="AB35" s="94">
        <f t="shared" si="12"/>
        <v>0</v>
      </c>
      <c r="AC35" s="95" t="str">
        <f t="shared" si="13"/>
        <v/>
      </c>
      <c r="AD35" s="94">
        <f t="shared" si="14"/>
        <v>25</v>
      </c>
      <c r="AE35" s="94">
        <f t="shared" si="14"/>
        <v>0</v>
      </c>
      <c r="AF35" s="94">
        <f t="shared" si="15"/>
        <v>25</v>
      </c>
      <c r="AG35" s="95" t="str">
        <f t="shared" si="16"/>
        <v/>
      </c>
      <c r="AH35" s="94">
        <f t="shared" si="17"/>
        <v>50</v>
      </c>
      <c r="AI35" s="94">
        <f t="shared" si="17"/>
        <v>0</v>
      </c>
      <c r="AJ35" s="94">
        <f t="shared" si="18"/>
        <v>50</v>
      </c>
      <c r="AK35" s="95" t="str">
        <f t="shared" si="19"/>
        <v/>
      </c>
      <c r="AL35" s="93"/>
      <c r="AM35" s="93"/>
      <c r="AN35" s="94">
        <f t="shared" si="20"/>
        <v>0</v>
      </c>
      <c r="AO35" s="95" t="str">
        <f t="shared" si="21"/>
        <v/>
      </c>
      <c r="AP35" s="94">
        <f t="shared" si="22"/>
        <v>50</v>
      </c>
      <c r="AQ35" s="94">
        <f t="shared" si="22"/>
        <v>0</v>
      </c>
      <c r="AR35" s="94">
        <f t="shared" si="23"/>
        <v>50</v>
      </c>
      <c r="AS35" s="95" t="str">
        <f t="shared" si="24"/>
        <v/>
      </c>
    </row>
    <row r="36" spans="1:45" x14ac:dyDescent="0.35">
      <c r="A36" s="92" t="s">
        <v>341</v>
      </c>
      <c r="B36" s="96">
        <f>(((((B30)+(B31))+(B32))+(B33))+(B34))+(B35)</f>
        <v>1040.67</v>
      </c>
      <c r="C36" s="96">
        <f>(((((C30)+(C31))+(C32))+(C33))+(C34))+(C35)</f>
        <v>1416.65</v>
      </c>
      <c r="D36" s="96">
        <f t="shared" si="0"/>
        <v>-375.98</v>
      </c>
      <c r="E36" s="97">
        <f t="shared" si="1"/>
        <v>0.7345992305791833</v>
      </c>
      <c r="F36" s="96">
        <f>(((((F30)+(F31))+(F32))+(F33))+(F34))+(F35)</f>
        <v>0</v>
      </c>
      <c r="G36" s="96">
        <f>(((((G30)+(G31))+(G32))+(G33))+(G34))+(G35)</f>
        <v>0</v>
      </c>
      <c r="H36" s="96">
        <f t="shared" si="2"/>
        <v>0</v>
      </c>
      <c r="I36" s="97" t="str">
        <f t="shared" si="3"/>
        <v/>
      </c>
      <c r="J36" s="96">
        <f>(((((J30)+(J31))+(J32))+(J33))+(J34))+(J35)</f>
        <v>25</v>
      </c>
      <c r="K36" s="96">
        <f>(((((K30)+(K31))+(K32))+(K33))+(K34))+(K35)</f>
        <v>0</v>
      </c>
      <c r="L36" s="96">
        <f t="shared" si="4"/>
        <v>25</v>
      </c>
      <c r="M36" s="97" t="str">
        <f t="shared" si="5"/>
        <v/>
      </c>
      <c r="N36" s="96">
        <f>(((((N30)+(N31))+(N32))+(N33))+(N34))+(N35)</f>
        <v>0</v>
      </c>
      <c r="O36" s="96">
        <f>(((((O30)+(O31))+(O32))+(O33))+(O34))+(O35)</f>
        <v>0</v>
      </c>
      <c r="P36" s="96">
        <f t="shared" si="6"/>
        <v>0</v>
      </c>
      <c r="Q36" s="97" t="str">
        <f t="shared" si="7"/>
        <v/>
      </c>
      <c r="R36" s="96">
        <f>(((((R30)+(R31))+(R32))+(R33))+(R34))+(R35)</f>
        <v>0</v>
      </c>
      <c r="S36" s="96">
        <f>(((((S30)+(S31))+(S32))+(S33))+(S34))+(S35)</f>
        <v>0</v>
      </c>
      <c r="T36" s="96">
        <f t="shared" si="8"/>
        <v>0</v>
      </c>
      <c r="U36" s="97" t="str">
        <f t="shared" si="9"/>
        <v/>
      </c>
      <c r="V36" s="96">
        <f>(((((V30)+(V31))+(V32))+(V33))+(V34))+(V35)</f>
        <v>25</v>
      </c>
      <c r="W36" s="96">
        <f>(((((W30)+(W31))+(W32))+(W33))+(W34))+(W35)</f>
        <v>0</v>
      </c>
      <c r="X36" s="96">
        <f t="shared" si="10"/>
        <v>25</v>
      </c>
      <c r="Y36" s="97" t="str">
        <f t="shared" si="11"/>
        <v/>
      </c>
      <c r="Z36" s="96">
        <f>(((((Z30)+(Z31))+(Z32))+(Z33))+(Z34))+(Z35)</f>
        <v>0</v>
      </c>
      <c r="AA36" s="96">
        <f>(((((AA30)+(AA31))+(AA32))+(AA33))+(AA34))+(AA35)</f>
        <v>0</v>
      </c>
      <c r="AB36" s="96">
        <f t="shared" si="12"/>
        <v>0</v>
      </c>
      <c r="AC36" s="97" t="str">
        <f t="shared" si="13"/>
        <v/>
      </c>
      <c r="AD36" s="96">
        <f t="shared" si="14"/>
        <v>25</v>
      </c>
      <c r="AE36" s="96">
        <f t="shared" si="14"/>
        <v>0</v>
      </c>
      <c r="AF36" s="96">
        <f t="shared" si="15"/>
        <v>25</v>
      </c>
      <c r="AG36" s="97" t="str">
        <f t="shared" si="16"/>
        <v/>
      </c>
      <c r="AH36" s="96">
        <f t="shared" si="17"/>
        <v>50</v>
      </c>
      <c r="AI36" s="96">
        <f t="shared" si="17"/>
        <v>0</v>
      </c>
      <c r="AJ36" s="96">
        <f t="shared" si="18"/>
        <v>50</v>
      </c>
      <c r="AK36" s="97" t="str">
        <f t="shared" si="19"/>
        <v/>
      </c>
      <c r="AL36" s="96">
        <f>(((((AL30)+(AL31))+(AL32))+(AL33))+(AL34))+(AL35)</f>
        <v>0</v>
      </c>
      <c r="AM36" s="96">
        <f>(((((AM30)+(AM31))+(AM32))+(AM33))+(AM34))+(AM35)</f>
        <v>0</v>
      </c>
      <c r="AN36" s="96">
        <f t="shared" si="20"/>
        <v>0</v>
      </c>
      <c r="AO36" s="97" t="str">
        <f t="shared" si="21"/>
        <v/>
      </c>
      <c r="AP36" s="96">
        <f t="shared" si="22"/>
        <v>1090.67</v>
      </c>
      <c r="AQ36" s="96">
        <f t="shared" si="22"/>
        <v>1416.65</v>
      </c>
      <c r="AR36" s="96">
        <f t="shared" si="23"/>
        <v>-325.98</v>
      </c>
      <c r="AS36" s="97">
        <f t="shared" si="24"/>
        <v>0.76989376345604066</v>
      </c>
    </row>
    <row r="37" spans="1:45" x14ac:dyDescent="0.35">
      <c r="A37" s="92" t="s">
        <v>174</v>
      </c>
      <c r="B37" s="96">
        <f>(((B18)+(B28))+(B29))+(B36)</f>
        <v>1040.67</v>
      </c>
      <c r="C37" s="96">
        <f>(((C18)+(C28))+(C29))+(C36)</f>
        <v>1416.65</v>
      </c>
      <c r="D37" s="96">
        <f t="shared" si="0"/>
        <v>-375.98</v>
      </c>
      <c r="E37" s="97">
        <f t="shared" si="1"/>
        <v>0.7345992305791833</v>
      </c>
      <c r="F37" s="96">
        <f>(((F18)+(F28))+(F29))+(F36)</f>
        <v>0</v>
      </c>
      <c r="G37" s="96">
        <f>(((G18)+(G28))+(G29))+(G36)</f>
        <v>16175.3</v>
      </c>
      <c r="H37" s="96">
        <f t="shared" si="2"/>
        <v>-16175.3</v>
      </c>
      <c r="I37" s="97">
        <f t="shared" si="3"/>
        <v>0</v>
      </c>
      <c r="J37" s="96">
        <f>(((J18)+(J28))+(J29))+(J36)</f>
        <v>25</v>
      </c>
      <c r="K37" s="96">
        <f>(((K18)+(K28))+(K29))+(K36)</f>
        <v>0</v>
      </c>
      <c r="L37" s="96">
        <f t="shared" si="4"/>
        <v>25</v>
      </c>
      <c r="M37" s="97" t="str">
        <f t="shared" si="5"/>
        <v/>
      </c>
      <c r="N37" s="96">
        <f>(((N18)+(N28))+(N29))+(N36)</f>
        <v>3789</v>
      </c>
      <c r="O37" s="96">
        <f>(((O18)+(O28))+(O29))+(O36)</f>
        <v>0</v>
      </c>
      <c r="P37" s="96">
        <f t="shared" si="6"/>
        <v>3789</v>
      </c>
      <c r="Q37" s="97" t="str">
        <f t="shared" si="7"/>
        <v/>
      </c>
      <c r="R37" s="96">
        <f>(((R18)+(R28))+(R29))+(R36)</f>
        <v>0</v>
      </c>
      <c r="S37" s="96">
        <f>(((S18)+(S28))+(S29))+(S36)</f>
        <v>0</v>
      </c>
      <c r="T37" s="96">
        <f t="shared" si="8"/>
        <v>0</v>
      </c>
      <c r="U37" s="97" t="str">
        <f t="shared" si="9"/>
        <v/>
      </c>
      <c r="V37" s="96">
        <f>(((V18)+(V28))+(V29))+(V36)</f>
        <v>14682</v>
      </c>
      <c r="W37" s="96">
        <f>(((W18)+(W28))+(W29))+(W36)</f>
        <v>0</v>
      </c>
      <c r="X37" s="96">
        <f t="shared" si="10"/>
        <v>14682</v>
      </c>
      <c r="Y37" s="97" t="str">
        <f t="shared" si="11"/>
        <v/>
      </c>
      <c r="Z37" s="96">
        <f>(((Z18)+(Z28))+(Z29))+(Z36)</f>
        <v>0</v>
      </c>
      <c r="AA37" s="96">
        <f>(((AA18)+(AA28))+(AA29))+(AA36)</f>
        <v>0</v>
      </c>
      <c r="AB37" s="96">
        <f t="shared" si="12"/>
        <v>0</v>
      </c>
      <c r="AC37" s="97" t="str">
        <f t="shared" si="13"/>
        <v/>
      </c>
      <c r="AD37" s="96">
        <f t="shared" si="14"/>
        <v>14682</v>
      </c>
      <c r="AE37" s="96">
        <f t="shared" si="14"/>
        <v>0</v>
      </c>
      <c r="AF37" s="96">
        <f t="shared" si="15"/>
        <v>14682</v>
      </c>
      <c r="AG37" s="97" t="str">
        <f t="shared" si="16"/>
        <v/>
      </c>
      <c r="AH37" s="96">
        <f t="shared" si="17"/>
        <v>18496</v>
      </c>
      <c r="AI37" s="96">
        <f t="shared" si="17"/>
        <v>16175.3</v>
      </c>
      <c r="AJ37" s="96">
        <f t="shared" si="18"/>
        <v>2320.7000000000007</v>
      </c>
      <c r="AK37" s="97">
        <f t="shared" si="19"/>
        <v>1.1434718366892731</v>
      </c>
      <c r="AL37" s="96">
        <f>(((AL18)+(AL28))+(AL29))+(AL36)</f>
        <v>226206.37000000002</v>
      </c>
      <c r="AM37" s="96">
        <f>(((AM18)+(AM28))+(AM29))+(AM36)</f>
        <v>213951.69999999998</v>
      </c>
      <c r="AN37" s="96">
        <f t="shared" si="20"/>
        <v>12254.670000000042</v>
      </c>
      <c r="AO37" s="97">
        <f t="shared" si="21"/>
        <v>1.0572777407237244</v>
      </c>
      <c r="AP37" s="96">
        <f t="shared" si="22"/>
        <v>245743.04000000004</v>
      </c>
      <c r="AQ37" s="96">
        <f t="shared" si="22"/>
        <v>231543.65</v>
      </c>
      <c r="AR37" s="96">
        <f t="shared" si="23"/>
        <v>14199.390000000043</v>
      </c>
      <c r="AS37" s="97">
        <f t="shared" si="24"/>
        <v>1.0613248948956278</v>
      </c>
    </row>
    <row r="38" spans="1:45" x14ac:dyDescent="0.35">
      <c r="A38" s="92" t="s">
        <v>20</v>
      </c>
      <c r="B38" s="96">
        <f>(B37)-(0)</f>
        <v>1040.67</v>
      </c>
      <c r="C38" s="96">
        <f>(C37)-(0)</f>
        <v>1416.65</v>
      </c>
      <c r="D38" s="96">
        <f t="shared" si="0"/>
        <v>-375.98</v>
      </c>
      <c r="E38" s="97">
        <f t="shared" si="1"/>
        <v>0.7345992305791833</v>
      </c>
      <c r="F38" s="96">
        <f>(F37)-(0)</f>
        <v>0</v>
      </c>
      <c r="G38" s="96">
        <f>(G37)-(0)</f>
        <v>16175.3</v>
      </c>
      <c r="H38" s="96">
        <f t="shared" si="2"/>
        <v>-16175.3</v>
      </c>
      <c r="I38" s="97">
        <f t="shared" si="3"/>
        <v>0</v>
      </c>
      <c r="J38" s="96">
        <f>(J37)-(0)</f>
        <v>25</v>
      </c>
      <c r="K38" s="96">
        <f>(K37)-(0)</f>
        <v>0</v>
      </c>
      <c r="L38" s="96">
        <f t="shared" si="4"/>
        <v>25</v>
      </c>
      <c r="M38" s="97" t="str">
        <f t="shared" si="5"/>
        <v/>
      </c>
      <c r="N38" s="96">
        <f>(N37)-(0)</f>
        <v>3789</v>
      </c>
      <c r="O38" s="96">
        <f>(O37)-(0)</f>
        <v>0</v>
      </c>
      <c r="P38" s="96">
        <f t="shared" si="6"/>
        <v>3789</v>
      </c>
      <c r="Q38" s="97" t="str">
        <f t="shared" si="7"/>
        <v/>
      </c>
      <c r="R38" s="96">
        <f>(R37)-(0)</f>
        <v>0</v>
      </c>
      <c r="S38" s="96">
        <f>(S37)-(0)</f>
        <v>0</v>
      </c>
      <c r="T38" s="96">
        <f t="shared" si="8"/>
        <v>0</v>
      </c>
      <c r="U38" s="97" t="str">
        <f t="shared" si="9"/>
        <v/>
      </c>
      <c r="V38" s="96">
        <f>(V37)-(0)</f>
        <v>14682</v>
      </c>
      <c r="W38" s="96">
        <f>(W37)-(0)</f>
        <v>0</v>
      </c>
      <c r="X38" s="96">
        <f t="shared" si="10"/>
        <v>14682</v>
      </c>
      <c r="Y38" s="97" t="str">
        <f t="shared" si="11"/>
        <v/>
      </c>
      <c r="Z38" s="96">
        <f>(Z37)-(0)</f>
        <v>0</v>
      </c>
      <c r="AA38" s="96">
        <f>(AA37)-(0)</f>
        <v>0</v>
      </c>
      <c r="AB38" s="96">
        <f t="shared" si="12"/>
        <v>0</v>
      </c>
      <c r="AC38" s="97" t="str">
        <f t="shared" si="13"/>
        <v/>
      </c>
      <c r="AD38" s="96">
        <f t="shared" si="14"/>
        <v>14682</v>
      </c>
      <c r="AE38" s="96">
        <f t="shared" si="14"/>
        <v>0</v>
      </c>
      <c r="AF38" s="96">
        <f t="shared" si="15"/>
        <v>14682</v>
      </c>
      <c r="AG38" s="97" t="str">
        <f t="shared" si="16"/>
        <v/>
      </c>
      <c r="AH38" s="96">
        <f t="shared" si="17"/>
        <v>18496</v>
      </c>
      <c r="AI38" s="96">
        <f t="shared" si="17"/>
        <v>16175.3</v>
      </c>
      <c r="AJ38" s="96">
        <f t="shared" si="18"/>
        <v>2320.7000000000007</v>
      </c>
      <c r="AK38" s="97">
        <f t="shared" si="19"/>
        <v>1.1434718366892731</v>
      </c>
      <c r="AL38" s="96">
        <f>(AL37)-(0)</f>
        <v>226206.37000000002</v>
      </c>
      <c r="AM38" s="96">
        <f>(AM37)-(0)</f>
        <v>213951.69999999998</v>
      </c>
      <c r="AN38" s="96">
        <f t="shared" si="20"/>
        <v>12254.670000000042</v>
      </c>
      <c r="AO38" s="97">
        <f t="shared" si="21"/>
        <v>1.0572777407237244</v>
      </c>
      <c r="AP38" s="96">
        <f t="shared" si="22"/>
        <v>245743.04000000004</v>
      </c>
      <c r="AQ38" s="96">
        <f t="shared" si="22"/>
        <v>231543.65</v>
      </c>
      <c r="AR38" s="96">
        <f t="shared" si="23"/>
        <v>14199.390000000043</v>
      </c>
      <c r="AS38" s="97">
        <f t="shared" si="24"/>
        <v>1.0613248948956278</v>
      </c>
    </row>
    <row r="39" spans="1:45" x14ac:dyDescent="0.35">
      <c r="A39" s="92" t="s">
        <v>175</v>
      </c>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row>
    <row r="40" spans="1:45" x14ac:dyDescent="0.35">
      <c r="A40" s="92" t="s">
        <v>342</v>
      </c>
      <c r="B40" s="93"/>
      <c r="C40" s="93"/>
      <c r="D40" s="94">
        <f t="shared" ref="D40:D82" si="25">(B40)-(C40)</f>
        <v>0</v>
      </c>
      <c r="E40" s="95" t="str">
        <f t="shared" ref="E40:E82" si="26">IF(C40=0,"",(B40)/(C40))</f>
        <v/>
      </c>
      <c r="F40" s="93"/>
      <c r="G40" s="93"/>
      <c r="H40" s="94">
        <f t="shared" ref="H40:H82" si="27">(F40)-(G40)</f>
        <v>0</v>
      </c>
      <c r="I40" s="95" t="str">
        <f t="shared" ref="I40:I82" si="28">IF(G40=0,"",(F40)/(G40))</f>
        <v/>
      </c>
      <c r="J40" s="93"/>
      <c r="K40" s="93"/>
      <c r="L40" s="94">
        <f t="shared" ref="L40:L82" si="29">(J40)-(K40)</f>
        <v>0</v>
      </c>
      <c r="M40" s="95" t="str">
        <f t="shared" ref="M40:M82" si="30">IF(K40=0,"",(J40)/(K40))</f>
        <v/>
      </c>
      <c r="N40" s="93"/>
      <c r="O40" s="93"/>
      <c r="P40" s="94">
        <f t="shared" ref="P40:P82" si="31">(N40)-(O40)</f>
        <v>0</v>
      </c>
      <c r="Q40" s="95" t="str">
        <f t="shared" ref="Q40:Q82" si="32">IF(O40=0,"",(N40)/(O40))</f>
        <v/>
      </c>
      <c r="R40" s="93"/>
      <c r="S40" s="93"/>
      <c r="T40" s="94">
        <f t="shared" ref="T40:T82" si="33">(R40)-(S40)</f>
        <v>0</v>
      </c>
      <c r="U40" s="95" t="str">
        <f t="shared" ref="U40:U82" si="34">IF(S40=0,"",(R40)/(S40))</f>
        <v/>
      </c>
      <c r="V40" s="93"/>
      <c r="W40" s="93"/>
      <c r="X40" s="94">
        <f t="shared" ref="X40:X82" si="35">(V40)-(W40)</f>
        <v>0</v>
      </c>
      <c r="Y40" s="95" t="str">
        <f t="shared" ref="Y40:Y82" si="36">IF(W40=0,"",(V40)/(W40))</f>
        <v/>
      </c>
      <c r="Z40" s="93"/>
      <c r="AA40" s="93"/>
      <c r="AB40" s="94">
        <f t="shared" ref="AB40:AB82" si="37">(Z40)-(AA40)</f>
        <v>0</v>
      </c>
      <c r="AC40" s="95" t="str">
        <f t="shared" ref="AC40:AC82" si="38">IF(AA40=0,"",(Z40)/(AA40))</f>
        <v/>
      </c>
      <c r="AD40" s="94">
        <f t="shared" ref="AD40:AE82" si="39">(V40)+(Z40)</f>
        <v>0</v>
      </c>
      <c r="AE40" s="94">
        <f t="shared" si="39"/>
        <v>0</v>
      </c>
      <c r="AF40" s="94">
        <f t="shared" ref="AF40:AF82" si="40">(AD40)-(AE40)</f>
        <v>0</v>
      </c>
      <c r="AG40" s="95" t="str">
        <f t="shared" ref="AG40:AG82" si="41">IF(AE40=0,"",(AD40)/(AE40))</f>
        <v/>
      </c>
      <c r="AH40" s="94">
        <f t="shared" ref="AH40:AI82" si="42">((((F40)+(J40))+(N40))+(R40))+(AD40)</f>
        <v>0</v>
      </c>
      <c r="AI40" s="94">
        <f t="shared" si="42"/>
        <v>0</v>
      </c>
      <c r="AJ40" s="94">
        <f t="shared" ref="AJ40:AJ82" si="43">(AH40)-(AI40)</f>
        <v>0</v>
      </c>
      <c r="AK40" s="95" t="str">
        <f t="shared" ref="AK40:AK82" si="44">IF(AI40=0,"",(AH40)/(AI40))</f>
        <v/>
      </c>
      <c r="AL40" s="93"/>
      <c r="AM40" s="93"/>
      <c r="AN40" s="94">
        <f t="shared" ref="AN40:AN82" si="45">(AL40)-(AM40)</f>
        <v>0</v>
      </c>
      <c r="AO40" s="95" t="str">
        <f t="shared" ref="AO40:AO82" si="46">IF(AM40=0,"",(AL40)/(AM40))</f>
        <v/>
      </c>
      <c r="AP40" s="94">
        <f t="shared" ref="AP40:AQ82" si="47">((B40)+(AH40))+(AL40)</f>
        <v>0</v>
      </c>
      <c r="AQ40" s="94">
        <f t="shared" si="47"/>
        <v>0</v>
      </c>
      <c r="AR40" s="94">
        <f t="shared" ref="AR40:AR82" si="48">(AP40)-(AQ40)</f>
        <v>0</v>
      </c>
      <c r="AS40" s="95" t="str">
        <f t="shared" ref="AS40:AS82" si="49">IF(AQ40=0,"",(AP40)/(AQ40))</f>
        <v/>
      </c>
    </row>
    <row r="41" spans="1:45" x14ac:dyDescent="0.35">
      <c r="A41" s="92" t="s">
        <v>343</v>
      </c>
      <c r="B41" s="93"/>
      <c r="C41" s="93"/>
      <c r="D41" s="94">
        <f t="shared" si="25"/>
        <v>0</v>
      </c>
      <c r="E41" s="95" t="str">
        <f t="shared" si="26"/>
        <v/>
      </c>
      <c r="F41" s="93"/>
      <c r="G41" s="94">
        <f>0</f>
        <v>0</v>
      </c>
      <c r="H41" s="94">
        <f t="shared" si="27"/>
        <v>0</v>
      </c>
      <c r="I41" s="95" t="str">
        <f t="shared" si="28"/>
        <v/>
      </c>
      <c r="J41" s="94">
        <f>714.01</f>
        <v>714.01</v>
      </c>
      <c r="K41" s="93"/>
      <c r="L41" s="94">
        <f t="shared" si="29"/>
        <v>714.01</v>
      </c>
      <c r="M41" s="95" t="str">
        <f t="shared" si="30"/>
        <v/>
      </c>
      <c r="N41" s="93"/>
      <c r="O41" s="93"/>
      <c r="P41" s="94">
        <f t="shared" si="31"/>
        <v>0</v>
      </c>
      <c r="Q41" s="95" t="str">
        <f t="shared" si="32"/>
        <v/>
      </c>
      <c r="R41" s="93"/>
      <c r="S41" s="93"/>
      <c r="T41" s="94">
        <f t="shared" si="33"/>
        <v>0</v>
      </c>
      <c r="U41" s="95" t="str">
        <f t="shared" si="34"/>
        <v/>
      </c>
      <c r="V41" s="93"/>
      <c r="W41" s="93"/>
      <c r="X41" s="94">
        <f t="shared" si="35"/>
        <v>0</v>
      </c>
      <c r="Y41" s="95" t="str">
        <f t="shared" si="36"/>
        <v/>
      </c>
      <c r="Z41" s="93"/>
      <c r="AA41" s="93"/>
      <c r="AB41" s="94">
        <f t="shared" si="37"/>
        <v>0</v>
      </c>
      <c r="AC41" s="95" t="str">
        <f t="shared" si="38"/>
        <v/>
      </c>
      <c r="AD41" s="94">
        <f t="shared" si="39"/>
        <v>0</v>
      </c>
      <c r="AE41" s="94">
        <f t="shared" si="39"/>
        <v>0</v>
      </c>
      <c r="AF41" s="94">
        <f t="shared" si="40"/>
        <v>0</v>
      </c>
      <c r="AG41" s="95" t="str">
        <f t="shared" si="41"/>
        <v/>
      </c>
      <c r="AH41" s="94">
        <f t="shared" si="42"/>
        <v>714.01</v>
      </c>
      <c r="AI41" s="94">
        <f t="shared" si="42"/>
        <v>0</v>
      </c>
      <c r="AJ41" s="94">
        <f t="shared" si="43"/>
        <v>714.01</v>
      </c>
      <c r="AK41" s="95" t="str">
        <f t="shared" si="44"/>
        <v/>
      </c>
      <c r="AL41" s="93"/>
      <c r="AM41" s="93"/>
      <c r="AN41" s="94">
        <f t="shared" si="45"/>
        <v>0</v>
      </c>
      <c r="AO41" s="95" t="str">
        <f t="shared" si="46"/>
        <v/>
      </c>
      <c r="AP41" s="94">
        <f t="shared" si="47"/>
        <v>714.01</v>
      </c>
      <c r="AQ41" s="94">
        <f t="shared" si="47"/>
        <v>0</v>
      </c>
      <c r="AR41" s="94">
        <f t="shared" si="48"/>
        <v>714.01</v>
      </c>
      <c r="AS41" s="95" t="str">
        <f t="shared" si="49"/>
        <v/>
      </c>
    </row>
    <row r="42" spans="1:45" x14ac:dyDescent="0.35">
      <c r="A42" s="92" t="s">
        <v>452</v>
      </c>
      <c r="B42" s="93"/>
      <c r="C42" s="93"/>
      <c r="D42" s="94">
        <f t="shared" si="25"/>
        <v>0</v>
      </c>
      <c r="E42" s="95" t="str">
        <f t="shared" si="26"/>
        <v/>
      </c>
      <c r="F42" s="93"/>
      <c r="G42" s="94">
        <f>6750</f>
        <v>6750</v>
      </c>
      <c r="H42" s="94">
        <f t="shared" si="27"/>
        <v>-6750</v>
      </c>
      <c r="I42" s="95">
        <f t="shared" si="28"/>
        <v>0</v>
      </c>
      <c r="J42" s="93"/>
      <c r="K42" s="93"/>
      <c r="L42" s="94">
        <f t="shared" si="29"/>
        <v>0</v>
      </c>
      <c r="M42" s="95" t="str">
        <f t="shared" si="30"/>
        <v/>
      </c>
      <c r="N42" s="93"/>
      <c r="O42" s="93"/>
      <c r="P42" s="94">
        <f t="shared" si="31"/>
        <v>0</v>
      </c>
      <c r="Q42" s="95" t="str">
        <f t="shared" si="32"/>
        <v/>
      </c>
      <c r="R42" s="94">
        <f>6750</f>
        <v>6750</v>
      </c>
      <c r="S42" s="93"/>
      <c r="T42" s="94">
        <f t="shared" si="33"/>
        <v>6750</v>
      </c>
      <c r="U42" s="95" t="str">
        <f t="shared" si="34"/>
        <v/>
      </c>
      <c r="V42" s="93"/>
      <c r="W42" s="93"/>
      <c r="X42" s="94">
        <f t="shared" si="35"/>
        <v>0</v>
      </c>
      <c r="Y42" s="95" t="str">
        <f t="shared" si="36"/>
        <v/>
      </c>
      <c r="Z42" s="93"/>
      <c r="AA42" s="93"/>
      <c r="AB42" s="94">
        <f t="shared" si="37"/>
        <v>0</v>
      </c>
      <c r="AC42" s="95" t="str">
        <f t="shared" si="38"/>
        <v/>
      </c>
      <c r="AD42" s="94">
        <f t="shared" si="39"/>
        <v>0</v>
      </c>
      <c r="AE42" s="94">
        <f t="shared" si="39"/>
        <v>0</v>
      </c>
      <c r="AF42" s="94">
        <f t="shared" si="40"/>
        <v>0</v>
      </c>
      <c r="AG42" s="95" t="str">
        <f t="shared" si="41"/>
        <v/>
      </c>
      <c r="AH42" s="94">
        <f t="shared" si="42"/>
        <v>6750</v>
      </c>
      <c r="AI42" s="94">
        <f t="shared" si="42"/>
        <v>6750</v>
      </c>
      <c r="AJ42" s="94">
        <f t="shared" si="43"/>
        <v>0</v>
      </c>
      <c r="AK42" s="95">
        <f t="shared" si="44"/>
        <v>1</v>
      </c>
      <c r="AL42" s="93"/>
      <c r="AM42" s="93"/>
      <c r="AN42" s="94">
        <f t="shared" si="45"/>
        <v>0</v>
      </c>
      <c r="AO42" s="95" t="str">
        <f t="shared" si="46"/>
        <v/>
      </c>
      <c r="AP42" s="94">
        <f t="shared" si="47"/>
        <v>6750</v>
      </c>
      <c r="AQ42" s="94">
        <f t="shared" si="47"/>
        <v>6750</v>
      </c>
      <c r="AR42" s="94">
        <f t="shared" si="48"/>
        <v>0</v>
      </c>
      <c r="AS42" s="95">
        <f t="shared" si="49"/>
        <v>1</v>
      </c>
    </row>
    <row r="43" spans="1:45" x14ac:dyDescent="0.35">
      <c r="A43" s="92" t="s">
        <v>344</v>
      </c>
      <c r="B43" s="94">
        <f>250</f>
        <v>250</v>
      </c>
      <c r="C43" s="93"/>
      <c r="D43" s="94">
        <f t="shared" si="25"/>
        <v>250</v>
      </c>
      <c r="E43" s="95" t="str">
        <f t="shared" si="26"/>
        <v/>
      </c>
      <c r="F43" s="93"/>
      <c r="G43" s="94">
        <f>6095</f>
        <v>6095</v>
      </c>
      <c r="H43" s="94">
        <f t="shared" si="27"/>
        <v>-6095</v>
      </c>
      <c r="I43" s="95">
        <f t="shared" si="28"/>
        <v>0</v>
      </c>
      <c r="J43" s="93"/>
      <c r="K43" s="93"/>
      <c r="L43" s="94">
        <f t="shared" si="29"/>
        <v>0</v>
      </c>
      <c r="M43" s="95" t="str">
        <f t="shared" si="30"/>
        <v/>
      </c>
      <c r="N43" s="93"/>
      <c r="O43" s="93"/>
      <c r="P43" s="94">
        <f t="shared" si="31"/>
        <v>0</v>
      </c>
      <c r="Q43" s="95" t="str">
        <f t="shared" si="32"/>
        <v/>
      </c>
      <c r="R43" s="93"/>
      <c r="S43" s="93"/>
      <c r="T43" s="94">
        <f t="shared" si="33"/>
        <v>0</v>
      </c>
      <c r="U43" s="95" t="str">
        <f t="shared" si="34"/>
        <v/>
      </c>
      <c r="V43" s="94">
        <f>3337.76</f>
        <v>3337.76</v>
      </c>
      <c r="W43" s="93"/>
      <c r="X43" s="94">
        <f t="shared" si="35"/>
        <v>3337.76</v>
      </c>
      <c r="Y43" s="95" t="str">
        <f t="shared" si="36"/>
        <v/>
      </c>
      <c r="Z43" s="94">
        <f>3436.5</f>
        <v>3436.5</v>
      </c>
      <c r="AA43" s="93"/>
      <c r="AB43" s="94">
        <f t="shared" si="37"/>
        <v>3436.5</v>
      </c>
      <c r="AC43" s="95" t="str">
        <f t="shared" si="38"/>
        <v/>
      </c>
      <c r="AD43" s="94">
        <f t="shared" si="39"/>
        <v>6774.26</v>
      </c>
      <c r="AE43" s="94">
        <f t="shared" si="39"/>
        <v>0</v>
      </c>
      <c r="AF43" s="94">
        <f t="shared" si="40"/>
        <v>6774.26</v>
      </c>
      <c r="AG43" s="95" t="str">
        <f t="shared" si="41"/>
        <v/>
      </c>
      <c r="AH43" s="94">
        <f t="shared" si="42"/>
        <v>6774.26</v>
      </c>
      <c r="AI43" s="94">
        <f t="shared" si="42"/>
        <v>6095</v>
      </c>
      <c r="AJ43" s="94">
        <f t="shared" si="43"/>
        <v>679.26000000000022</v>
      </c>
      <c r="AK43" s="95">
        <f t="shared" si="44"/>
        <v>1.1114454470877768</v>
      </c>
      <c r="AL43" s="93"/>
      <c r="AM43" s="93"/>
      <c r="AN43" s="94">
        <f t="shared" si="45"/>
        <v>0</v>
      </c>
      <c r="AO43" s="95" t="str">
        <f t="shared" si="46"/>
        <v/>
      </c>
      <c r="AP43" s="94">
        <f t="shared" si="47"/>
        <v>7024.26</v>
      </c>
      <c r="AQ43" s="94">
        <f t="shared" si="47"/>
        <v>6095</v>
      </c>
      <c r="AR43" s="94">
        <f t="shared" si="48"/>
        <v>929.26000000000022</v>
      </c>
      <c r="AS43" s="95">
        <f t="shared" si="49"/>
        <v>1.1524626743232158</v>
      </c>
    </row>
    <row r="44" spans="1:45" x14ac:dyDescent="0.35">
      <c r="A44" s="92" t="s">
        <v>345</v>
      </c>
      <c r="B44" s="96">
        <f>(((B40)+(B41))+(B42))+(B43)</f>
        <v>250</v>
      </c>
      <c r="C44" s="96">
        <f>(((C40)+(C41))+(C42))+(C43)</f>
        <v>0</v>
      </c>
      <c r="D44" s="96">
        <f t="shared" si="25"/>
        <v>250</v>
      </c>
      <c r="E44" s="97" t="str">
        <f t="shared" si="26"/>
        <v/>
      </c>
      <c r="F44" s="96">
        <f>(((F40)+(F41))+(F42))+(F43)</f>
        <v>0</v>
      </c>
      <c r="G44" s="96">
        <f>(((G40)+(G41))+(G42))+(G43)</f>
        <v>12845</v>
      </c>
      <c r="H44" s="96">
        <f t="shared" si="27"/>
        <v>-12845</v>
      </c>
      <c r="I44" s="97">
        <f t="shared" si="28"/>
        <v>0</v>
      </c>
      <c r="J44" s="96">
        <f>(((J40)+(J41))+(J42))+(J43)</f>
        <v>714.01</v>
      </c>
      <c r="K44" s="96">
        <f>(((K40)+(K41))+(K42))+(K43)</f>
        <v>0</v>
      </c>
      <c r="L44" s="96">
        <f t="shared" si="29"/>
        <v>714.01</v>
      </c>
      <c r="M44" s="97" t="str">
        <f t="shared" si="30"/>
        <v/>
      </c>
      <c r="N44" s="96">
        <f>(((N40)+(N41))+(N42))+(N43)</f>
        <v>0</v>
      </c>
      <c r="O44" s="96">
        <f>(((O40)+(O41))+(O42))+(O43)</f>
        <v>0</v>
      </c>
      <c r="P44" s="96">
        <f t="shared" si="31"/>
        <v>0</v>
      </c>
      <c r="Q44" s="97" t="str">
        <f t="shared" si="32"/>
        <v/>
      </c>
      <c r="R44" s="96">
        <f>(((R40)+(R41))+(R42))+(R43)</f>
        <v>6750</v>
      </c>
      <c r="S44" s="96">
        <f>(((S40)+(S41))+(S42))+(S43)</f>
        <v>0</v>
      </c>
      <c r="T44" s="96">
        <f t="shared" si="33"/>
        <v>6750</v>
      </c>
      <c r="U44" s="97" t="str">
        <f t="shared" si="34"/>
        <v/>
      </c>
      <c r="V44" s="96">
        <f>(((V40)+(V41))+(V42))+(V43)</f>
        <v>3337.76</v>
      </c>
      <c r="W44" s="96">
        <f>(((W40)+(W41))+(W42))+(W43)</f>
        <v>0</v>
      </c>
      <c r="X44" s="96">
        <f t="shared" si="35"/>
        <v>3337.76</v>
      </c>
      <c r="Y44" s="97" t="str">
        <f t="shared" si="36"/>
        <v/>
      </c>
      <c r="Z44" s="96">
        <f>(((Z40)+(Z41))+(Z42))+(Z43)</f>
        <v>3436.5</v>
      </c>
      <c r="AA44" s="96">
        <f>(((AA40)+(AA41))+(AA42))+(AA43)</f>
        <v>0</v>
      </c>
      <c r="AB44" s="96">
        <f t="shared" si="37"/>
        <v>3436.5</v>
      </c>
      <c r="AC44" s="97" t="str">
        <f t="shared" si="38"/>
        <v/>
      </c>
      <c r="AD44" s="96">
        <f t="shared" si="39"/>
        <v>6774.26</v>
      </c>
      <c r="AE44" s="96">
        <f t="shared" si="39"/>
        <v>0</v>
      </c>
      <c r="AF44" s="96">
        <f t="shared" si="40"/>
        <v>6774.26</v>
      </c>
      <c r="AG44" s="97" t="str">
        <f t="shared" si="41"/>
        <v/>
      </c>
      <c r="AH44" s="96">
        <f t="shared" si="42"/>
        <v>14238.27</v>
      </c>
      <c r="AI44" s="96">
        <f t="shared" si="42"/>
        <v>12845</v>
      </c>
      <c r="AJ44" s="96">
        <f t="shared" si="43"/>
        <v>1393.2700000000004</v>
      </c>
      <c r="AK44" s="97">
        <f t="shared" si="44"/>
        <v>1.1084678863370963</v>
      </c>
      <c r="AL44" s="96">
        <f>(((AL40)+(AL41))+(AL42))+(AL43)</f>
        <v>0</v>
      </c>
      <c r="AM44" s="96">
        <f>(((AM40)+(AM41))+(AM42))+(AM43)</f>
        <v>0</v>
      </c>
      <c r="AN44" s="96">
        <f t="shared" si="45"/>
        <v>0</v>
      </c>
      <c r="AO44" s="97" t="str">
        <f t="shared" si="46"/>
        <v/>
      </c>
      <c r="AP44" s="96">
        <f t="shared" si="47"/>
        <v>14488.27</v>
      </c>
      <c r="AQ44" s="96">
        <f t="shared" si="47"/>
        <v>12845</v>
      </c>
      <c r="AR44" s="96">
        <f t="shared" si="48"/>
        <v>1643.2700000000004</v>
      </c>
      <c r="AS44" s="97">
        <f t="shared" si="49"/>
        <v>1.1279307123394318</v>
      </c>
    </row>
    <row r="45" spans="1:45" x14ac:dyDescent="0.35">
      <c r="A45" s="92" t="s">
        <v>346</v>
      </c>
      <c r="B45" s="93"/>
      <c r="C45" s="93"/>
      <c r="D45" s="94">
        <f t="shared" si="25"/>
        <v>0</v>
      </c>
      <c r="E45" s="95" t="str">
        <f t="shared" si="26"/>
        <v/>
      </c>
      <c r="F45" s="93"/>
      <c r="G45" s="93"/>
      <c r="H45" s="94">
        <f t="shared" si="27"/>
        <v>0</v>
      </c>
      <c r="I45" s="95" t="str">
        <f t="shared" si="28"/>
        <v/>
      </c>
      <c r="J45" s="93"/>
      <c r="K45" s="93"/>
      <c r="L45" s="94">
        <f t="shared" si="29"/>
        <v>0</v>
      </c>
      <c r="M45" s="95" t="str">
        <f t="shared" si="30"/>
        <v/>
      </c>
      <c r="N45" s="93"/>
      <c r="O45" s="93"/>
      <c r="P45" s="94">
        <f t="shared" si="31"/>
        <v>0</v>
      </c>
      <c r="Q45" s="95" t="str">
        <f t="shared" si="32"/>
        <v/>
      </c>
      <c r="R45" s="93"/>
      <c r="S45" s="93"/>
      <c r="T45" s="94">
        <f t="shared" si="33"/>
        <v>0</v>
      </c>
      <c r="U45" s="95" t="str">
        <f t="shared" si="34"/>
        <v/>
      </c>
      <c r="V45" s="93"/>
      <c r="W45" s="93"/>
      <c r="X45" s="94">
        <f t="shared" si="35"/>
        <v>0</v>
      </c>
      <c r="Y45" s="95" t="str">
        <f t="shared" si="36"/>
        <v/>
      </c>
      <c r="Z45" s="93"/>
      <c r="AA45" s="93"/>
      <c r="AB45" s="94">
        <f t="shared" si="37"/>
        <v>0</v>
      </c>
      <c r="AC45" s="95" t="str">
        <f t="shared" si="38"/>
        <v/>
      </c>
      <c r="AD45" s="94">
        <f t="shared" si="39"/>
        <v>0</v>
      </c>
      <c r="AE45" s="94">
        <f t="shared" si="39"/>
        <v>0</v>
      </c>
      <c r="AF45" s="94">
        <f t="shared" si="40"/>
        <v>0</v>
      </c>
      <c r="AG45" s="95" t="str">
        <f t="shared" si="41"/>
        <v/>
      </c>
      <c r="AH45" s="94">
        <f t="shared" si="42"/>
        <v>0</v>
      </c>
      <c r="AI45" s="94">
        <f t="shared" si="42"/>
        <v>0</v>
      </c>
      <c r="AJ45" s="94">
        <f t="shared" si="43"/>
        <v>0</v>
      </c>
      <c r="AK45" s="95" t="str">
        <f t="shared" si="44"/>
        <v/>
      </c>
      <c r="AL45" s="93"/>
      <c r="AM45" s="93"/>
      <c r="AN45" s="94">
        <f t="shared" si="45"/>
        <v>0</v>
      </c>
      <c r="AO45" s="95" t="str">
        <f t="shared" si="46"/>
        <v/>
      </c>
      <c r="AP45" s="94">
        <f t="shared" si="47"/>
        <v>0</v>
      </c>
      <c r="AQ45" s="94">
        <f t="shared" si="47"/>
        <v>0</v>
      </c>
      <c r="AR45" s="94">
        <f t="shared" si="48"/>
        <v>0</v>
      </c>
      <c r="AS45" s="95" t="str">
        <f t="shared" si="49"/>
        <v/>
      </c>
    </row>
    <row r="46" spans="1:45" x14ac:dyDescent="0.35">
      <c r="A46" s="92" t="s">
        <v>347</v>
      </c>
      <c r="B46" s="94">
        <f>156100.69</f>
        <v>156100.69</v>
      </c>
      <c r="C46" s="94">
        <f>157500</f>
        <v>157500</v>
      </c>
      <c r="D46" s="94">
        <f t="shared" si="25"/>
        <v>-1399.3099999999977</v>
      </c>
      <c r="E46" s="95">
        <f t="shared" si="26"/>
        <v>0.99111549206349203</v>
      </c>
      <c r="F46" s="93"/>
      <c r="G46" s="93"/>
      <c r="H46" s="94">
        <f t="shared" si="27"/>
        <v>0</v>
      </c>
      <c r="I46" s="95" t="str">
        <f t="shared" si="28"/>
        <v/>
      </c>
      <c r="J46" s="93"/>
      <c r="K46" s="93"/>
      <c r="L46" s="94">
        <f t="shared" si="29"/>
        <v>0</v>
      </c>
      <c r="M46" s="95" t="str">
        <f t="shared" si="30"/>
        <v/>
      </c>
      <c r="N46" s="93"/>
      <c r="O46" s="93"/>
      <c r="P46" s="94">
        <f t="shared" si="31"/>
        <v>0</v>
      </c>
      <c r="Q46" s="95" t="str">
        <f t="shared" si="32"/>
        <v/>
      </c>
      <c r="R46" s="93"/>
      <c r="S46" s="93"/>
      <c r="T46" s="94">
        <f t="shared" si="33"/>
        <v>0</v>
      </c>
      <c r="U46" s="95" t="str">
        <f t="shared" si="34"/>
        <v/>
      </c>
      <c r="V46" s="93"/>
      <c r="W46" s="93"/>
      <c r="X46" s="94">
        <f t="shared" si="35"/>
        <v>0</v>
      </c>
      <c r="Y46" s="95" t="str">
        <f t="shared" si="36"/>
        <v/>
      </c>
      <c r="Z46" s="93"/>
      <c r="AA46" s="93"/>
      <c r="AB46" s="94">
        <f t="shared" si="37"/>
        <v>0</v>
      </c>
      <c r="AC46" s="95" t="str">
        <f t="shared" si="38"/>
        <v/>
      </c>
      <c r="AD46" s="94">
        <f t="shared" si="39"/>
        <v>0</v>
      </c>
      <c r="AE46" s="94">
        <f t="shared" si="39"/>
        <v>0</v>
      </c>
      <c r="AF46" s="94">
        <f t="shared" si="40"/>
        <v>0</v>
      </c>
      <c r="AG46" s="95" t="str">
        <f t="shared" si="41"/>
        <v/>
      </c>
      <c r="AH46" s="94">
        <f t="shared" si="42"/>
        <v>0</v>
      </c>
      <c r="AI46" s="94">
        <f t="shared" si="42"/>
        <v>0</v>
      </c>
      <c r="AJ46" s="94">
        <f t="shared" si="43"/>
        <v>0</v>
      </c>
      <c r="AK46" s="95" t="str">
        <f t="shared" si="44"/>
        <v/>
      </c>
      <c r="AL46" s="93"/>
      <c r="AM46" s="93"/>
      <c r="AN46" s="94">
        <f t="shared" si="45"/>
        <v>0</v>
      </c>
      <c r="AO46" s="95" t="str">
        <f t="shared" si="46"/>
        <v/>
      </c>
      <c r="AP46" s="94">
        <f t="shared" si="47"/>
        <v>156100.69</v>
      </c>
      <c r="AQ46" s="94">
        <f t="shared" si="47"/>
        <v>157500</v>
      </c>
      <c r="AR46" s="94">
        <f t="shared" si="48"/>
        <v>-1399.3099999999977</v>
      </c>
      <c r="AS46" s="95">
        <f t="shared" si="49"/>
        <v>0.99111549206349203</v>
      </c>
    </row>
    <row r="47" spans="1:45" x14ac:dyDescent="0.35">
      <c r="A47" s="92" t="s">
        <v>348</v>
      </c>
      <c r="B47" s="94">
        <f>12509.37</f>
        <v>12509.37</v>
      </c>
      <c r="C47" s="94">
        <f>12740.85</f>
        <v>12740.85</v>
      </c>
      <c r="D47" s="94">
        <f t="shared" si="25"/>
        <v>-231.47999999999956</v>
      </c>
      <c r="E47" s="95">
        <f t="shared" si="26"/>
        <v>0.98183166743192174</v>
      </c>
      <c r="F47" s="93"/>
      <c r="G47" s="93"/>
      <c r="H47" s="94">
        <f t="shared" si="27"/>
        <v>0</v>
      </c>
      <c r="I47" s="95" t="str">
        <f t="shared" si="28"/>
        <v/>
      </c>
      <c r="J47" s="93"/>
      <c r="K47" s="93"/>
      <c r="L47" s="94">
        <f t="shared" si="29"/>
        <v>0</v>
      </c>
      <c r="M47" s="95" t="str">
        <f t="shared" si="30"/>
        <v/>
      </c>
      <c r="N47" s="93"/>
      <c r="O47" s="93"/>
      <c r="P47" s="94">
        <f t="shared" si="31"/>
        <v>0</v>
      </c>
      <c r="Q47" s="95" t="str">
        <f t="shared" si="32"/>
        <v/>
      </c>
      <c r="R47" s="93"/>
      <c r="S47" s="93"/>
      <c r="T47" s="94">
        <f t="shared" si="33"/>
        <v>0</v>
      </c>
      <c r="U47" s="95" t="str">
        <f t="shared" si="34"/>
        <v/>
      </c>
      <c r="V47" s="93"/>
      <c r="W47" s="93"/>
      <c r="X47" s="94">
        <f t="shared" si="35"/>
        <v>0</v>
      </c>
      <c r="Y47" s="95" t="str">
        <f t="shared" si="36"/>
        <v/>
      </c>
      <c r="Z47" s="93"/>
      <c r="AA47" s="93"/>
      <c r="AB47" s="94">
        <f t="shared" si="37"/>
        <v>0</v>
      </c>
      <c r="AC47" s="95" t="str">
        <f t="shared" si="38"/>
        <v/>
      </c>
      <c r="AD47" s="94">
        <f t="shared" si="39"/>
        <v>0</v>
      </c>
      <c r="AE47" s="94">
        <f t="shared" si="39"/>
        <v>0</v>
      </c>
      <c r="AF47" s="94">
        <f t="shared" si="40"/>
        <v>0</v>
      </c>
      <c r="AG47" s="95" t="str">
        <f t="shared" si="41"/>
        <v/>
      </c>
      <c r="AH47" s="94">
        <f t="shared" si="42"/>
        <v>0</v>
      </c>
      <c r="AI47" s="94">
        <f t="shared" si="42"/>
        <v>0</v>
      </c>
      <c r="AJ47" s="94">
        <f t="shared" si="43"/>
        <v>0</v>
      </c>
      <c r="AK47" s="95" t="str">
        <f t="shared" si="44"/>
        <v/>
      </c>
      <c r="AL47" s="93"/>
      <c r="AM47" s="93"/>
      <c r="AN47" s="94">
        <f t="shared" si="45"/>
        <v>0</v>
      </c>
      <c r="AO47" s="95" t="str">
        <f t="shared" si="46"/>
        <v/>
      </c>
      <c r="AP47" s="94">
        <f t="shared" si="47"/>
        <v>12509.37</v>
      </c>
      <c r="AQ47" s="94">
        <f t="shared" si="47"/>
        <v>12740.85</v>
      </c>
      <c r="AR47" s="94">
        <f t="shared" si="48"/>
        <v>-231.47999999999956</v>
      </c>
      <c r="AS47" s="95">
        <f t="shared" si="49"/>
        <v>0.98183166743192174</v>
      </c>
    </row>
    <row r="48" spans="1:45" x14ac:dyDescent="0.35">
      <c r="A48" s="92" t="s">
        <v>349</v>
      </c>
      <c r="B48" s="94">
        <f>14766.27</f>
        <v>14766.27</v>
      </c>
      <c r="C48" s="94">
        <f>15067.1</f>
        <v>15067.1</v>
      </c>
      <c r="D48" s="94">
        <f t="shared" si="25"/>
        <v>-300.82999999999993</v>
      </c>
      <c r="E48" s="95">
        <f t="shared" si="26"/>
        <v>0.98003398132354602</v>
      </c>
      <c r="F48" s="93"/>
      <c r="G48" s="93"/>
      <c r="H48" s="94">
        <f t="shared" si="27"/>
        <v>0</v>
      </c>
      <c r="I48" s="95" t="str">
        <f t="shared" si="28"/>
        <v/>
      </c>
      <c r="J48" s="93"/>
      <c r="K48" s="93"/>
      <c r="L48" s="94">
        <f t="shared" si="29"/>
        <v>0</v>
      </c>
      <c r="M48" s="95" t="str">
        <f t="shared" si="30"/>
        <v/>
      </c>
      <c r="N48" s="93"/>
      <c r="O48" s="93"/>
      <c r="P48" s="94">
        <f t="shared" si="31"/>
        <v>0</v>
      </c>
      <c r="Q48" s="95" t="str">
        <f t="shared" si="32"/>
        <v/>
      </c>
      <c r="R48" s="93"/>
      <c r="S48" s="93"/>
      <c r="T48" s="94">
        <f t="shared" si="33"/>
        <v>0</v>
      </c>
      <c r="U48" s="95" t="str">
        <f t="shared" si="34"/>
        <v/>
      </c>
      <c r="V48" s="93"/>
      <c r="W48" s="93"/>
      <c r="X48" s="94">
        <f t="shared" si="35"/>
        <v>0</v>
      </c>
      <c r="Y48" s="95" t="str">
        <f t="shared" si="36"/>
        <v/>
      </c>
      <c r="Z48" s="93"/>
      <c r="AA48" s="93"/>
      <c r="AB48" s="94">
        <f t="shared" si="37"/>
        <v>0</v>
      </c>
      <c r="AC48" s="95" t="str">
        <f t="shared" si="38"/>
        <v/>
      </c>
      <c r="AD48" s="94">
        <f t="shared" si="39"/>
        <v>0</v>
      </c>
      <c r="AE48" s="94">
        <f t="shared" si="39"/>
        <v>0</v>
      </c>
      <c r="AF48" s="94">
        <f t="shared" si="40"/>
        <v>0</v>
      </c>
      <c r="AG48" s="95" t="str">
        <f t="shared" si="41"/>
        <v/>
      </c>
      <c r="AH48" s="94">
        <f t="shared" si="42"/>
        <v>0</v>
      </c>
      <c r="AI48" s="94">
        <f t="shared" si="42"/>
        <v>0</v>
      </c>
      <c r="AJ48" s="94">
        <f t="shared" si="43"/>
        <v>0</v>
      </c>
      <c r="AK48" s="95" t="str">
        <f t="shared" si="44"/>
        <v/>
      </c>
      <c r="AL48" s="93"/>
      <c r="AM48" s="93"/>
      <c r="AN48" s="94">
        <f t="shared" si="45"/>
        <v>0</v>
      </c>
      <c r="AO48" s="95" t="str">
        <f t="shared" si="46"/>
        <v/>
      </c>
      <c r="AP48" s="94">
        <f t="shared" si="47"/>
        <v>14766.27</v>
      </c>
      <c r="AQ48" s="94">
        <f t="shared" si="47"/>
        <v>15067.1</v>
      </c>
      <c r="AR48" s="94">
        <f t="shared" si="48"/>
        <v>-300.82999999999993</v>
      </c>
      <c r="AS48" s="95">
        <f t="shared" si="49"/>
        <v>0.98003398132354602</v>
      </c>
    </row>
    <row r="49" spans="1:45" x14ac:dyDescent="0.35">
      <c r="A49" s="92" t="s">
        <v>350</v>
      </c>
      <c r="B49" s="94">
        <f>4759.15</f>
        <v>4759.1499999999996</v>
      </c>
      <c r="C49" s="94">
        <f>4725</f>
        <v>4725</v>
      </c>
      <c r="D49" s="94">
        <f t="shared" si="25"/>
        <v>34.149999999999636</v>
      </c>
      <c r="E49" s="95">
        <f t="shared" si="26"/>
        <v>1.0072275132275132</v>
      </c>
      <c r="F49" s="93"/>
      <c r="G49" s="93"/>
      <c r="H49" s="94">
        <f t="shared" si="27"/>
        <v>0</v>
      </c>
      <c r="I49" s="95" t="str">
        <f t="shared" si="28"/>
        <v/>
      </c>
      <c r="J49" s="93"/>
      <c r="K49" s="93"/>
      <c r="L49" s="94">
        <f t="shared" si="29"/>
        <v>0</v>
      </c>
      <c r="M49" s="95" t="str">
        <f t="shared" si="30"/>
        <v/>
      </c>
      <c r="N49" s="93"/>
      <c r="O49" s="93"/>
      <c r="P49" s="94">
        <f t="shared" si="31"/>
        <v>0</v>
      </c>
      <c r="Q49" s="95" t="str">
        <f t="shared" si="32"/>
        <v/>
      </c>
      <c r="R49" s="93"/>
      <c r="S49" s="93"/>
      <c r="T49" s="94">
        <f t="shared" si="33"/>
        <v>0</v>
      </c>
      <c r="U49" s="95" t="str">
        <f t="shared" si="34"/>
        <v/>
      </c>
      <c r="V49" s="93"/>
      <c r="W49" s="93"/>
      <c r="X49" s="94">
        <f t="shared" si="35"/>
        <v>0</v>
      </c>
      <c r="Y49" s="95" t="str">
        <f t="shared" si="36"/>
        <v/>
      </c>
      <c r="Z49" s="93"/>
      <c r="AA49" s="93"/>
      <c r="AB49" s="94">
        <f t="shared" si="37"/>
        <v>0</v>
      </c>
      <c r="AC49" s="95" t="str">
        <f t="shared" si="38"/>
        <v/>
      </c>
      <c r="AD49" s="94">
        <f t="shared" si="39"/>
        <v>0</v>
      </c>
      <c r="AE49" s="94">
        <f t="shared" si="39"/>
        <v>0</v>
      </c>
      <c r="AF49" s="94">
        <f t="shared" si="40"/>
        <v>0</v>
      </c>
      <c r="AG49" s="95" t="str">
        <f t="shared" si="41"/>
        <v/>
      </c>
      <c r="AH49" s="94">
        <f t="shared" si="42"/>
        <v>0</v>
      </c>
      <c r="AI49" s="94">
        <f t="shared" si="42"/>
        <v>0</v>
      </c>
      <c r="AJ49" s="94">
        <f t="shared" si="43"/>
        <v>0</v>
      </c>
      <c r="AK49" s="95" t="str">
        <f t="shared" si="44"/>
        <v/>
      </c>
      <c r="AL49" s="93"/>
      <c r="AM49" s="93"/>
      <c r="AN49" s="94">
        <f t="shared" si="45"/>
        <v>0</v>
      </c>
      <c r="AO49" s="95" t="str">
        <f t="shared" si="46"/>
        <v/>
      </c>
      <c r="AP49" s="94">
        <f t="shared" si="47"/>
        <v>4759.1499999999996</v>
      </c>
      <c r="AQ49" s="94">
        <f t="shared" si="47"/>
        <v>4725</v>
      </c>
      <c r="AR49" s="94">
        <f t="shared" si="48"/>
        <v>34.149999999999636</v>
      </c>
      <c r="AS49" s="95">
        <f t="shared" si="49"/>
        <v>1.0072275132275132</v>
      </c>
    </row>
    <row r="50" spans="1:45" x14ac:dyDescent="0.35">
      <c r="A50" s="92" t="s">
        <v>351</v>
      </c>
      <c r="B50" s="94">
        <f>1994.6</f>
        <v>1994.6</v>
      </c>
      <c r="C50" s="94">
        <f>641.65</f>
        <v>641.65</v>
      </c>
      <c r="D50" s="94">
        <f t="shared" si="25"/>
        <v>1352.9499999999998</v>
      </c>
      <c r="E50" s="95">
        <f t="shared" si="26"/>
        <v>3.1085482739811425</v>
      </c>
      <c r="F50" s="93"/>
      <c r="G50" s="93"/>
      <c r="H50" s="94">
        <f t="shared" si="27"/>
        <v>0</v>
      </c>
      <c r="I50" s="95" t="str">
        <f t="shared" si="28"/>
        <v/>
      </c>
      <c r="J50" s="93"/>
      <c r="K50" s="93"/>
      <c r="L50" s="94">
        <f t="shared" si="29"/>
        <v>0</v>
      </c>
      <c r="M50" s="95" t="str">
        <f t="shared" si="30"/>
        <v/>
      </c>
      <c r="N50" s="93"/>
      <c r="O50" s="93"/>
      <c r="P50" s="94">
        <f t="shared" si="31"/>
        <v>0</v>
      </c>
      <c r="Q50" s="95" t="str">
        <f t="shared" si="32"/>
        <v/>
      </c>
      <c r="R50" s="93"/>
      <c r="S50" s="93"/>
      <c r="T50" s="94">
        <f t="shared" si="33"/>
        <v>0</v>
      </c>
      <c r="U50" s="95" t="str">
        <f t="shared" si="34"/>
        <v/>
      </c>
      <c r="V50" s="93"/>
      <c r="W50" s="93"/>
      <c r="X50" s="94">
        <f t="shared" si="35"/>
        <v>0</v>
      </c>
      <c r="Y50" s="95" t="str">
        <f t="shared" si="36"/>
        <v/>
      </c>
      <c r="Z50" s="93"/>
      <c r="AA50" s="93"/>
      <c r="AB50" s="94">
        <f t="shared" si="37"/>
        <v>0</v>
      </c>
      <c r="AC50" s="95" t="str">
        <f t="shared" si="38"/>
        <v/>
      </c>
      <c r="AD50" s="94">
        <f t="shared" si="39"/>
        <v>0</v>
      </c>
      <c r="AE50" s="94">
        <f t="shared" si="39"/>
        <v>0</v>
      </c>
      <c r="AF50" s="94">
        <f t="shared" si="40"/>
        <v>0</v>
      </c>
      <c r="AG50" s="95" t="str">
        <f t="shared" si="41"/>
        <v/>
      </c>
      <c r="AH50" s="94">
        <f t="shared" si="42"/>
        <v>0</v>
      </c>
      <c r="AI50" s="94">
        <f t="shared" si="42"/>
        <v>0</v>
      </c>
      <c r="AJ50" s="94">
        <f t="shared" si="43"/>
        <v>0</v>
      </c>
      <c r="AK50" s="95" t="str">
        <f t="shared" si="44"/>
        <v/>
      </c>
      <c r="AL50" s="93"/>
      <c r="AM50" s="93"/>
      <c r="AN50" s="94">
        <f t="shared" si="45"/>
        <v>0</v>
      </c>
      <c r="AO50" s="95" t="str">
        <f t="shared" si="46"/>
        <v/>
      </c>
      <c r="AP50" s="94">
        <f t="shared" si="47"/>
        <v>1994.6</v>
      </c>
      <c r="AQ50" s="94">
        <f t="shared" si="47"/>
        <v>641.65</v>
      </c>
      <c r="AR50" s="94">
        <f t="shared" si="48"/>
        <v>1352.9499999999998</v>
      </c>
      <c r="AS50" s="95">
        <f t="shared" si="49"/>
        <v>3.1085482739811425</v>
      </c>
    </row>
    <row r="51" spans="1:45" x14ac:dyDescent="0.35">
      <c r="A51" s="92" t="s">
        <v>352</v>
      </c>
      <c r="B51" s="96">
        <f>(((((B45)+(B46))+(B47))+(B48))+(B49))+(B50)</f>
        <v>190130.08</v>
      </c>
      <c r="C51" s="96">
        <f>(((((C45)+(C46))+(C47))+(C48))+(C49))+(C50)</f>
        <v>190674.6</v>
      </c>
      <c r="D51" s="96">
        <f t="shared" si="25"/>
        <v>-544.52000000001863</v>
      </c>
      <c r="E51" s="97">
        <f t="shared" si="26"/>
        <v>0.99714424469751073</v>
      </c>
      <c r="F51" s="96">
        <f>(((((F45)+(F46))+(F47))+(F48))+(F49))+(F50)</f>
        <v>0</v>
      </c>
      <c r="G51" s="96">
        <f>(((((G45)+(G46))+(G47))+(G48))+(G49))+(G50)</f>
        <v>0</v>
      </c>
      <c r="H51" s="96">
        <f t="shared" si="27"/>
        <v>0</v>
      </c>
      <c r="I51" s="97" t="str">
        <f t="shared" si="28"/>
        <v/>
      </c>
      <c r="J51" s="96">
        <f>(((((J45)+(J46))+(J47))+(J48))+(J49))+(J50)</f>
        <v>0</v>
      </c>
      <c r="K51" s="96">
        <f>(((((K45)+(K46))+(K47))+(K48))+(K49))+(K50)</f>
        <v>0</v>
      </c>
      <c r="L51" s="96">
        <f t="shared" si="29"/>
        <v>0</v>
      </c>
      <c r="M51" s="97" t="str">
        <f t="shared" si="30"/>
        <v/>
      </c>
      <c r="N51" s="96">
        <f>(((((N45)+(N46))+(N47))+(N48))+(N49))+(N50)</f>
        <v>0</v>
      </c>
      <c r="O51" s="96">
        <f>(((((O45)+(O46))+(O47))+(O48))+(O49))+(O50)</f>
        <v>0</v>
      </c>
      <c r="P51" s="96">
        <f t="shared" si="31"/>
        <v>0</v>
      </c>
      <c r="Q51" s="97" t="str">
        <f t="shared" si="32"/>
        <v/>
      </c>
      <c r="R51" s="96">
        <f>(((((R45)+(R46))+(R47))+(R48))+(R49))+(R50)</f>
        <v>0</v>
      </c>
      <c r="S51" s="96">
        <f>(((((S45)+(S46))+(S47))+(S48))+(S49))+(S50)</f>
        <v>0</v>
      </c>
      <c r="T51" s="96">
        <f t="shared" si="33"/>
        <v>0</v>
      </c>
      <c r="U51" s="97" t="str">
        <f t="shared" si="34"/>
        <v/>
      </c>
      <c r="V51" s="96">
        <f>(((((V45)+(V46))+(V47))+(V48))+(V49))+(V50)</f>
        <v>0</v>
      </c>
      <c r="W51" s="96">
        <f>(((((W45)+(W46))+(W47))+(W48))+(W49))+(W50)</f>
        <v>0</v>
      </c>
      <c r="X51" s="96">
        <f t="shared" si="35"/>
        <v>0</v>
      </c>
      <c r="Y51" s="97" t="str">
        <f t="shared" si="36"/>
        <v/>
      </c>
      <c r="Z51" s="96">
        <f>(((((Z45)+(Z46))+(Z47))+(Z48))+(Z49))+(Z50)</f>
        <v>0</v>
      </c>
      <c r="AA51" s="96">
        <f>(((((AA45)+(AA46))+(AA47))+(AA48))+(AA49))+(AA50)</f>
        <v>0</v>
      </c>
      <c r="AB51" s="96">
        <f t="shared" si="37"/>
        <v>0</v>
      </c>
      <c r="AC51" s="97" t="str">
        <f t="shared" si="38"/>
        <v/>
      </c>
      <c r="AD51" s="96">
        <f t="shared" si="39"/>
        <v>0</v>
      </c>
      <c r="AE51" s="96">
        <f t="shared" si="39"/>
        <v>0</v>
      </c>
      <c r="AF51" s="96">
        <f t="shared" si="40"/>
        <v>0</v>
      </c>
      <c r="AG51" s="97" t="str">
        <f t="shared" si="41"/>
        <v/>
      </c>
      <c r="AH51" s="96">
        <f t="shared" si="42"/>
        <v>0</v>
      </c>
      <c r="AI51" s="96">
        <f t="shared" si="42"/>
        <v>0</v>
      </c>
      <c r="AJ51" s="96">
        <f t="shared" si="43"/>
        <v>0</v>
      </c>
      <c r="AK51" s="97" t="str">
        <f t="shared" si="44"/>
        <v/>
      </c>
      <c r="AL51" s="96">
        <f>(((((AL45)+(AL46))+(AL47))+(AL48))+(AL49))+(AL50)</f>
        <v>0</v>
      </c>
      <c r="AM51" s="96">
        <f>(((((AM45)+(AM46))+(AM47))+(AM48))+(AM49))+(AM50)</f>
        <v>0</v>
      </c>
      <c r="AN51" s="96">
        <f t="shared" si="45"/>
        <v>0</v>
      </c>
      <c r="AO51" s="97" t="str">
        <f t="shared" si="46"/>
        <v/>
      </c>
      <c r="AP51" s="96">
        <f t="shared" si="47"/>
        <v>190130.08</v>
      </c>
      <c r="AQ51" s="96">
        <f t="shared" si="47"/>
        <v>190674.6</v>
      </c>
      <c r="AR51" s="96">
        <f t="shared" si="48"/>
        <v>-544.52000000001863</v>
      </c>
      <c r="AS51" s="97">
        <f t="shared" si="49"/>
        <v>0.99714424469751073</v>
      </c>
    </row>
    <row r="52" spans="1:45" x14ac:dyDescent="0.35">
      <c r="A52" s="92" t="s">
        <v>353</v>
      </c>
      <c r="B52" s="93"/>
      <c r="C52" s="93"/>
      <c r="D52" s="94">
        <f t="shared" si="25"/>
        <v>0</v>
      </c>
      <c r="E52" s="95" t="str">
        <f t="shared" si="26"/>
        <v/>
      </c>
      <c r="F52" s="93"/>
      <c r="G52" s="93"/>
      <c r="H52" s="94">
        <f t="shared" si="27"/>
        <v>0</v>
      </c>
      <c r="I52" s="95" t="str">
        <f t="shared" si="28"/>
        <v/>
      </c>
      <c r="J52" s="93"/>
      <c r="K52" s="93"/>
      <c r="L52" s="94">
        <f t="shared" si="29"/>
        <v>0</v>
      </c>
      <c r="M52" s="95" t="str">
        <f t="shared" si="30"/>
        <v/>
      </c>
      <c r="N52" s="93"/>
      <c r="O52" s="93"/>
      <c r="P52" s="94">
        <f t="shared" si="31"/>
        <v>0</v>
      </c>
      <c r="Q52" s="95" t="str">
        <f t="shared" si="32"/>
        <v/>
      </c>
      <c r="R52" s="93"/>
      <c r="S52" s="93"/>
      <c r="T52" s="94">
        <f t="shared" si="33"/>
        <v>0</v>
      </c>
      <c r="U52" s="95" t="str">
        <f t="shared" si="34"/>
        <v/>
      </c>
      <c r="V52" s="93"/>
      <c r="W52" s="93"/>
      <c r="X52" s="94">
        <f t="shared" si="35"/>
        <v>0</v>
      </c>
      <c r="Y52" s="95" t="str">
        <f t="shared" si="36"/>
        <v/>
      </c>
      <c r="Z52" s="93"/>
      <c r="AA52" s="93"/>
      <c r="AB52" s="94">
        <f t="shared" si="37"/>
        <v>0</v>
      </c>
      <c r="AC52" s="95" t="str">
        <f t="shared" si="38"/>
        <v/>
      </c>
      <c r="AD52" s="94">
        <f t="shared" si="39"/>
        <v>0</v>
      </c>
      <c r="AE52" s="94">
        <f t="shared" si="39"/>
        <v>0</v>
      </c>
      <c r="AF52" s="94">
        <f t="shared" si="40"/>
        <v>0</v>
      </c>
      <c r="AG52" s="95" t="str">
        <f t="shared" si="41"/>
        <v/>
      </c>
      <c r="AH52" s="94">
        <f t="shared" si="42"/>
        <v>0</v>
      </c>
      <c r="AI52" s="94">
        <f t="shared" si="42"/>
        <v>0</v>
      </c>
      <c r="AJ52" s="94">
        <f t="shared" si="43"/>
        <v>0</v>
      </c>
      <c r="AK52" s="95" t="str">
        <f t="shared" si="44"/>
        <v/>
      </c>
      <c r="AL52" s="93"/>
      <c r="AM52" s="93"/>
      <c r="AN52" s="94">
        <f t="shared" si="45"/>
        <v>0</v>
      </c>
      <c r="AO52" s="95" t="str">
        <f t="shared" si="46"/>
        <v/>
      </c>
      <c r="AP52" s="94">
        <f t="shared" si="47"/>
        <v>0</v>
      </c>
      <c r="AQ52" s="94">
        <f t="shared" si="47"/>
        <v>0</v>
      </c>
      <c r="AR52" s="94">
        <f t="shared" si="48"/>
        <v>0</v>
      </c>
      <c r="AS52" s="95" t="str">
        <f t="shared" si="49"/>
        <v/>
      </c>
    </row>
    <row r="53" spans="1:45" x14ac:dyDescent="0.35">
      <c r="A53" s="92" t="s">
        <v>453</v>
      </c>
      <c r="B53" s="94">
        <f>175</f>
        <v>175</v>
      </c>
      <c r="C53" s="94">
        <f>125</f>
        <v>125</v>
      </c>
      <c r="D53" s="94">
        <f t="shared" si="25"/>
        <v>50</v>
      </c>
      <c r="E53" s="95">
        <f t="shared" si="26"/>
        <v>1.4</v>
      </c>
      <c r="F53" s="93"/>
      <c r="G53" s="93"/>
      <c r="H53" s="94">
        <f t="shared" si="27"/>
        <v>0</v>
      </c>
      <c r="I53" s="95" t="str">
        <f t="shared" si="28"/>
        <v/>
      </c>
      <c r="J53" s="93"/>
      <c r="K53" s="93"/>
      <c r="L53" s="94">
        <f t="shared" si="29"/>
        <v>0</v>
      </c>
      <c r="M53" s="95" t="str">
        <f t="shared" si="30"/>
        <v/>
      </c>
      <c r="N53" s="93"/>
      <c r="O53" s="93"/>
      <c r="P53" s="94">
        <f t="shared" si="31"/>
        <v>0</v>
      </c>
      <c r="Q53" s="95" t="str">
        <f t="shared" si="32"/>
        <v/>
      </c>
      <c r="R53" s="93"/>
      <c r="S53" s="93"/>
      <c r="T53" s="94">
        <f t="shared" si="33"/>
        <v>0</v>
      </c>
      <c r="U53" s="95" t="str">
        <f t="shared" si="34"/>
        <v/>
      </c>
      <c r="V53" s="93"/>
      <c r="W53" s="93"/>
      <c r="X53" s="94">
        <f t="shared" si="35"/>
        <v>0</v>
      </c>
      <c r="Y53" s="95" t="str">
        <f t="shared" si="36"/>
        <v/>
      </c>
      <c r="Z53" s="93"/>
      <c r="AA53" s="93"/>
      <c r="AB53" s="94">
        <f t="shared" si="37"/>
        <v>0</v>
      </c>
      <c r="AC53" s="95" t="str">
        <f t="shared" si="38"/>
        <v/>
      </c>
      <c r="AD53" s="94">
        <f t="shared" si="39"/>
        <v>0</v>
      </c>
      <c r="AE53" s="94">
        <f t="shared" si="39"/>
        <v>0</v>
      </c>
      <c r="AF53" s="94">
        <f t="shared" si="40"/>
        <v>0</v>
      </c>
      <c r="AG53" s="95" t="str">
        <f t="shared" si="41"/>
        <v/>
      </c>
      <c r="AH53" s="94">
        <f t="shared" si="42"/>
        <v>0</v>
      </c>
      <c r="AI53" s="94">
        <f t="shared" si="42"/>
        <v>0</v>
      </c>
      <c r="AJ53" s="94">
        <f t="shared" si="43"/>
        <v>0</v>
      </c>
      <c r="AK53" s="95" t="str">
        <f t="shared" si="44"/>
        <v/>
      </c>
      <c r="AL53" s="93"/>
      <c r="AM53" s="93"/>
      <c r="AN53" s="94">
        <f t="shared" si="45"/>
        <v>0</v>
      </c>
      <c r="AO53" s="95" t="str">
        <f t="shared" si="46"/>
        <v/>
      </c>
      <c r="AP53" s="94">
        <f t="shared" si="47"/>
        <v>175</v>
      </c>
      <c r="AQ53" s="94">
        <f t="shared" si="47"/>
        <v>125</v>
      </c>
      <c r="AR53" s="94">
        <f t="shared" si="48"/>
        <v>50</v>
      </c>
      <c r="AS53" s="95">
        <f t="shared" si="49"/>
        <v>1.4</v>
      </c>
    </row>
    <row r="54" spans="1:45" x14ac:dyDescent="0.35">
      <c r="A54" s="92" t="s">
        <v>354</v>
      </c>
      <c r="B54" s="94">
        <f>33300</f>
        <v>33300</v>
      </c>
      <c r="C54" s="94">
        <f>33300</f>
        <v>33300</v>
      </c>
      <c r="D54" s="94">
        <f t="shared" si="25"/>
        <v>0</v>
      </c>
      <c r="E54" s="95">
        <f t="shared" si="26"/>
        <v>1</v>
      </c>
      <c r="F54" s="93"/>
      <c r="G54" s="93"/>
      <c r="H54" s="94">
        <f t="shared" si="27"/>
        <v>0</v>
      </c>
      <c r="I54" s="95" t="str">
        <f t="shared" si="28"/>
        <v/>
      </c>
      <c r="J54" s="93"/>
      <c r="K54" s="93"/>
      <c r="L54" s="94">
        <f t="shared" si="29"/>
        <v>0</v>
      </c>
      <c r="M54" s="95" t="str">
        <f t="shared" si="30"/>
        <v/>
      </c>
      <c r="N54" s="93"/>
      <c r="O54" s="93"/>
      <c r="P54" s="94">
        <f t="shared" si="31"/>
        <v>0</v>
      </c>
      <c r="Q54" s="95" t="str">
        <f t="shared" si="32"/>
        <v/>
      </c>
      <c r="R54" s="93"/>
      <c r="S54" s="93"/>
      <c r="T54" s="94">
        <f t="shared" si="33"/>
        <v>0</v>
      </c>
      <c r="U54" s="95" t="str">
        <f t="shared" si="34"/>
        <v/>
      </c>
      <c r="V54" s="93"/>
      <c r="W54" s="93"/>
      <c r="X54" s="94">
        <f t="shared" si="35"/>
        <v>0</v>
      </c>
      <c r="Y54" s="95" t="str">
        <f t="shared" si="36"/>
        <v/>
      </c>
      <c r="Z54" s="93"/>
      <c r="AA54" s="93"/>
      <c r="AB54" s="94">
        <f t="shared" si="37"/>
        <v>0</v>
      </c>
      <c r="AC54" s="95" t="str">
        <f t="shared" si="38"/>
        <v/>
      </c>
      <c r="AD54" s="94">
        <f t="shared" si="39"/>
        <v>0</v>
      </c>
      <c r="AE54" s="94">
        <f t="shared" si="39"/>
        <v>0</v>
      </c>
      <c r="AF54" s="94">
        <f t="shared" si="40"/>
        <v>0</v>
      </c>
      <c r="AG54" s="95" t="str">
        <f t="shared" si="41"/>
        <v/>
      </c>
      <c r="AH54" s="94">
        <f t="shared" si="42"/>
        <v>0</v>
      </c>
      <c r="AI54" s="94">
        <f t="shared" si="42"/>
        <v>0</v>
      </c>
      <c r="AJ54" s="94">
        <f t="shared" si="43"/>
        <v>0</v>
      </c>
      <c r="AK54" s="95" t="str">
        <f t="shared" si="44"/>
        <v/>
      </c>
      <c r="AL54" s="93"/>
      <c r="AM54" s="93"/>
      <c r="AN54" s="94">
        <f t="shared" si="45"/>
        <v>0</v>
      </c>
      <c r="AO54" s="95" t="str">
        <f t="shared" si="46"/>
        <v/>
      </c>
      <c r="AP54" s="94">
        <f t="shared" si="47"/>
        <v>33300</v>
      </c>
      <c r="AQ54" s="94">
        <f t="shared" si="47"/>
        <v>33300</v>
      </c>
      <c r="AR54" s="94">
        <f t="shared" si="48"/>
        <v>0</v>
      </c>
      <c r="AS54" s="95">
        <f t="shared" si="49"/>
        <v>1</v>
      </c>
    </row>
    <row r="55" spans="1:45" x14ac:dyDescent="0.35">
      <c r="A55" s="92" t="s">
        <v>355</v>
      </c>
      <c r="B55" s="93"/>
      <c r="C55" s="94">
        <f>208.35</f>
        <v>208.35</v>
      </c>
      <c r="D55" s="94">
        <f t="shared" si="25"/>
        <v>-208.35</v>
      </c>
      <c r="E55" s="95">
        <f t="shared" si="26"/>
        <v>0</v>
      </c>
      <c r="F55" s="93"/>
      <c r="G55" s="93"/>
      <c r="H55" s="94">
        <f t="shared" si="27"/>
        <v>0</v>
      </c>
      <c r="I55" s="95" t="str">
        <f t="shared" si="28"/>
        <v/>
      </c>
      <c r="J55" s="93"/>
      <c r="K55" s="93"/>
      <c r="L55" s="94">
        <f t="shared" si="29"/>
        <v>0</v>
      </c>
      <c r="M55" s="95" t="str">
        <f t="shared" si="30"/>
        <v/>
      </c>
      <c r="N55" s="93"/>
      <c r="O55" s="93"/>
      <c r="P55" s="94">
        <f t="shared" si="31"/>
        <v>0</v>
      </c>
      <c r="Q55" s="95" t="str">
        <f t="shared" si="32"/>
        <v/>
      </c>
      <c r="R55" s="93"/>
      <c r="S55" s="93"/>
      <c r="T55" s="94">
        <f t="shared" si="33"/>
        <v>0</v>
      </c>
      <c r="U55" s="95" t="str">
        <f t="shared" si="34"/>
        <v/>
      </c>
      <c r="V55" s="93"/>
      <c r="W55" s="93"/>
      <c r="X55" s="94">
        <f t="shared" si="35"/>
        <v>0</v>
      </c>
      <c r="Y55" s="95" t="str">
        <f t="shared" si="36"/>
        <v/>
      </c>
      <c r="Z55" s="93"/>
      <c r="AA55" s="93"/>
      <c r="AB55" s="94">
        <f t="shared" si="37"/>
        <v>0</v>
      </c>
      <c r="AC55" s="95" t="str">
        <f t="shared" si="38"/>
        <v/>
      </c>
      <c r="AD55" s="94">
        <f t="shared" si="39"/>
        <v>0</v>
      </c>
      <c r="AE55" s="94">
        <f t="shared" si="39"/>
        <v>0</v>
      </c>
      <c r="AF55" s="94">
        <f t="shared" si="40"/>
        <v>0</v>
      </c>
      <c r="AG55" s="95" t="str">
        <f t="shared" si="41"/>
        <v/>
      </c>
      <c r="AH55" s="94">
        <f t="shared" si="42"/>
        <v>0</v>
      </c>
      <c r="AI55" s="94">
        <f t="shared" si="42"/>
        <v>0</v>
      </c>
      <c r="AJ55" s="94">
        <f t="shared" si="43"/>
        <v>0</v>
      </c>
      <c r="AK55" s="95" t="str">
        <f t="shared" si="44"/>
        <v/>
      </c>
      <c r="AL55" s="93"/>
      <c r="AM55" s="93"/>
      <c r="AN55" s="94">
        <f t="shared" si="45"/>
        <v>0</v>
      </c>
      <c r="AO55" s="95" t="str">
        <f t="shared" si="46"/>
        <v/>
      </c>
      <c r="AP55" s="94">
        <f t="shared" si="47"/>
        <v>0</v>
      </c>
      <c r="AQ55" s="94">
        <f t="shared" si="47"/>
        <v>208.35</v>
      </c>
      <c r="AR55" s="94">
        <f t="shared" si="48"/>
        <v>-208.35</v>
      </c>
      <c r="AS55" s="95">
        <f t="shared" si="49"/>
        <v>0</v>
      </c>
    </row>
    <row r="56" spans="1:45" x14ac:dyDescent="0.35">
      <c r="A56" s="92" t="s">
        <v>356</v>
      </c>
      <c r="B56" s="94">
        <f>34589.13</f>
        <v>34589.129999999997</v>
      </c>
      <c r="C56" s="94">
        <f>15416.65</f>
        <v>15416.65</v>
      </c>
      <c r="D56" s="94">
        <f t="shared" si="25"/>
        <v>19172.479999999996</v>
      </c>
      <c r="E56" s="95">
        <f t="shared" si="26"/>
        <v>2.2436216687801824</v>
      </c>
      <c r="F56" s="93"/>
      <c r="G56" s="93"/>
      <c r="H56" s="94">
        <f t="shared" si="27"/>
        <v>0</v>
      </c>
      <c r="I56" s="95" t="str">
        <f t="shared" si="28"/>
        <v/>
      </c>
      <c r="J56" s="93"/>
      <c r="K56" s="93"/>
      <c r="L56" s="94">
        <f t="shared" si="29"/>
        <v>0</v>
      </c>
      <c r="M56" s="95" t="str">
        <f t="shared" si="30"/>
        <v/>
      </c>
      <c r="N56" s="93"/>
      <c r="O56" s="93"/>
      <c r="P56" s="94">
        <f t="shared" si="31"/>
        <v>0</v>
      </c>
      <c r="Q56" s="95" t="str">
        <f t="shared" si="32"/>
        <v/>
      </c>
      <c r="R56" s="93"/>
      <c r="S56" s="93"/>
      <c r="T56" s="94">
        <f t="shared" si="33"/>
        <v>0</v>
      </c>
      <c r="U56" s="95" t="str">
        <f t="shared" si="34"/>
        <v/>
      </c>
      <c r="V56" s="93"/>
      <c r="W56" s="93"/>
      <c r="X56" s="94">
        <f t="shared" si="35"/>
        <v>0</v>
      </c>
      <c r="Y56" s="95" t="str">
        <f t="shared" si="36"/>
        <v/>
      </c>
      <c r="Z56" s="93"/>
      <c r="AA56" s="93"/>
      <c r="AB56" s="94">
        <f t="shared" si="37"/>
        <v>0</v>
      </c>
      <c r="AC56" s="95" t="str">
        <f t="shared" si="38"/>
        <v/>
      </c>
      <c r="AD56" s="94">
        <f t="shared" si="39"/>
        <v>0</v>
      </c>
      <c r="AE56" s="94">
        <f t="shared" si="39"/>
        <v>0</v>
      </c>
      <c r="AF56" s="94">
        <f t="shared" si="40"/>
        <v>0</v>
      </c>
      <c r="AG56" s="95" t="str">
        <f t="shared" si="41"/>
        <v/>
      </c>
      <c r="AH56" s="94">
        <f t="shared" si="42"/>
        <v>0</v>
      </c>
      <c r="AI56" s="94">
        <f t="shared" si="42"/>
        <v>0</v>
      </c>
      <c r="AJ56" s="94">
        <f t="shared" si="43"/>
        <v>0</v>
      </c>
      <c r="AK56" s="95" t="str">
        <f t="shared" si="44"/>
        <v/>
      </c>
      <c r="AL56" s="93"/>
      <c r="AM56" s="93"/>
      <c r="AN56" s="94">
        <f t="shared" si="45"/>
        <v>0</v>
      </c>
      <c r="AO56" s="95" t="str">
        <f t="shared" si="46"/>
        <v/>
      </c>
      <c r="AP56" s="94">
        <f t="shared" si="47"/>
        <v>34589.129999999997</v>
      </c>
      <c r="AQ56" s="94">
        <f t="shared" si="47"/>
        <v>15416.65</v>
      </c>
      <c r="AR56" s="94">
        <f t="shared" si="48"/>
        <v>19172.479999999996</v>
      </c>
      <c r="AS56" s="95">
        <f t="shared" si="49"/>
        <v>2.2436216687801824</v>
      </c>
    </row>
    <row r="57" spans="1:45" x14ac:dyDescent="0.35">
      <c r="A57" s="92" t="s">
        <v>357</v>
      </c>
      <c r="B57" s="94">
        <f>170</f>
        <v>170</v>
      </c>
      <c r="C57" s="94">
        <f>425</f>
        <v>425</v>
      </c>
      <c r="D57" s="94">
        <f t="shared" si="25"/>
        <v>-255</v>
      </c>
      <c r="E57" s="95">
        <f t="shared" si="26"/>
        <v>0.4</v>
      </c>
      <c r="F57" s="93"/>
      <c r="G57" s="93"/>
      <c r="H57" s="94">
        <f t="shared" si="27"/>
        <v>0</v>
      </c>
      <c r="I57" s="95" t="str">
        <f t="shared" si="28"/>
        <v/>
      </c>
      <c r="J57" s="93"/>
      <c r="K57" s="93"/>
      <c r="L57" s="94">
        <f t="shared" si="29"/>
        <v>0</v>
      </c>
      <c r="M57" s="95" t="str">
        <f t="shared" si="30"/>
        <v/>
      </c>
      <c r="N57" s="93"/>
      <c r="O57" s="93"/>
      <c r="P57" s="94">
        <f t="shared" si="31"/>
        <v>0</v>
      </c>
      <c r="Q57" s="95" t="str">
        <f t="shared" si="32"/>
        <v/>
      </c>
      <c r="R57" s="93"/>
      <c r="S57" s="93"/>
      <c r="T57" s="94">
        <f t="shared" si="33"/>
        <v>0</v>
      </c>
      <c r="U57" s="95" t="str">
        <f t="shared" si="34"/>
        <v/>
      </c>
      <c r="V57" s="93"/>
      <c r="W57" s="93"/>
      <c r="X57" s="94">
        <f t="shared" si="35"/>
        <v>0</v>
      </c>
      <c r="Y57" s="95" t="str">
        <f t="shared" si="36"/>
        <v/>
      </c>
      <c r="Z57" s="93"/>
      <c r="AA57" s="93"/>
      <c r="AB57" s="94">
        <f t="shared" si="37"/>
        <v>0</v>
      </c>
      <c r="AC57" s="95" t="str">
        <f t="shared" si="38"/>
        <v/>
      </c>
      <c r="AD57" s="94">
        <f t="shared" si="39"/>
        <v>0</v>
      </c>
      <c r="AE57" s="94">
        <f t="shared" si="39"/>
        <v>0</v>
      </c>
      <c r="AF57" s="94">
        <f t="shared" si="40"/>
        <v>0</v>
      </c>
      <c r="AG57" s="95" t="str">
        <f t="shared" si="41"/>
        <v/>
      </c>
      <c r="AH57" s="94">
        <f t="shared" si="42"/>
        <v>0</v>
      </c>
      <c r="AI57" s="94">
        <f t="shared" si="42"/>
        <v>0</v>
      </c>
      <c r="AJ57" s="94">
        <f t="shared" si="43"/>
        <v>0</v>
      </c>
      <c r="AK57" s="95" t="str">
        <f t="shared" si="44"/>
        <v/>
      </c>
      <c r="AL57" s="93"/>
      <c r="AM57" s="93"/>
      <c r="AN57" s="94">
        <f t="shared" si="45"/>
        <v>0</v>
      </c>
      <c r="AO57" s="95" t="str">
        <f t="shared" si="46"/>
        <v/>
      </c>
      <c r="AP57" s="94">
        <f t="shared" si="47"/>
        <v>170</v>
      </c>
      <c r="AQ57" s="94">
        <f t="shared" si="47"/>
        <v>425</v>
      </c>
      <c r="AR57" s="94">
        <f t="shared" si="48"/>
        <v>-255</v>
      </c>
      <c r="AS57" s="95">
        <f t="shared" si="49"/>
        <v>0.4</v>
      </c>
    </row>
    <row r="58" spans="1:45" x14ac:dyDescent="0.35">
      <c r="A58" s="92" t="s">
        <v>358</v>
      </c>
      <c r="B58" s="96">
        <f>(((((B52)+(B53))+(B54))+(B55))+(B56))+(B57)</f>
        <v>68234.13</v>
      </c>
      <c r="C58" s="96">
        <f>(((((C52)+(C53))+(C54))+(C55))+(C56))+(C57)</f>
        <v>49475</v>
      </c>
      <c r="D58" s="96">
        <f t="shared" si="25"/>
        <v>18759.130000000005</v>
      </c>
      <c r="E58" s="97">
        <f t="shared" si="26"/>
        <v>1.3791638201111673</v>
      </c>
      <c r="F58" s="96">
        <f>(((((F52)+(F53))+(F54))+(F55))+(F56))+(F57)</f>
        <v>0</v>
      </c>
      <c r="G58" s="96">
        <f>(((((G52)+(G53))+(G54))+(G55))+(G56))+(G57)</f>
        <v>0</v>
      </c>
      <c r="H58" s="96">
        <f t="shared" si="27"/>
        <v>0</v>
      </c>
      <c r="I58" s="97" t="str">
        <f t="shared" si="28"/>
        <v/>
      </c>
      <c r="J58" s="96">
        <f>(((((J52)+(J53))+(J54))+(J55))+(J56))+(J57)</f>
        <v>0</v>
      </c>
      <c r="K58" s="96">
        <f>(((((K52)+(K53))+(K54))+(K55))+(K56))+(K57)</f>
        <v>0</v>
      </c>
      <c r="L58" s="96">
        <f t="shared" si="29"/>
        <v>0</v>
      </c>
      <c r="M58" s="97" t="str">
        <f t="shared" si="30"/>
        <v/>
      </c>
      <c r="N58" s="96">
        <f>(((((N52)+(N53))+(N54))+(N55))+(N56))+(N57)</f>
        <v>0</v>
      </c>
      <c r="O58" s="96">
        <f>(((((O52)+(O53))+(O54))+(O55))+(O56))+(O57)</f>
        <v>0</v>
      </c>
      <c r="P58" s="96">
        <f t="shared" si="31"/>
        <v>0</v>
      </c>
      <c r="Q58" s="97" t="str">
        <f t="shared" si="32"/>
        <v/>
      </c>
      <c r="R58" s="96">
        <f>(((((R52)+(R53))+(R54))+(R55))+(R56))+(R57)</f>
        <v>0</v>
      </c>
      <c r="S58" s="96">
        <f>(((((S52)+(S53))+(S54))+(S55))+(S56))+(S57)</f>
        <v>0</v>
      </c>
      <c r="T58" s="96">
        <f t="shared" si="33"/>
        <v>0</v>
      </c>
      <c r="U58" s="97" t="str">
        <f t="shared" si="34"/>
        <v/>
      </c>
      <c r="V58" s="96">
        <f>(((((V52)+(V53))+(V54))+(V55))+(V56))+(V57)</f>
        <v>0</v>
      </c>
      <c r="W58" s="96">
        <f>(((((W52)+(W53))+(W54))+(W55))+(W56))+(W57)</f>
        <v>0</v>
      </c>
      <c r="X58" s="96">
        <f t="shared" si="35"/>
        <v>0</v>
      </c>
      <c r="Y58" s="97" t="str">
        <f t="shared" si="36"/>
        <v/>
      </c>
      <c r="Z58" s="96">
        <f>(((((Z52)+(Z53))+(Z54))+(Z55))+(Z56))+(Z57)</f>
        <v>0</v>
      </c>
      <c r="AA58" s="96">
        <f>(((((AA52)+(AA53))+(AA54))+(AA55))+(AA56))+(AA57)</f>
        <v>0</v>
      </c>
      <c r="AB58" s="96">
        <f t="shared" si="37"/>
        <v>0</v>
      </c>
      <c r="AC58" s="97" t="str">
        <f t="shared" si="38"/>
        <v/>
      </c>
      <c r="AD58" s="96">
        <f t="shared" si="39"/>
        <v>0</v>
      </c>
      <c r="AE58" s="96">
        <f t="shared" si="39"/>
        <v>0</v>
      </c>
      <c r="AF58" s="96">
        <f t="shared" si="40"/>
        <v>0</v>
      </c>
      <c r="AG58" s="97" t="str">
        <f t="shared" si="41"/>
        <v/>
      </c>
      <c r="AH58" s="96">
        <f t="shared" si="42"/>
        <v>0</v>
      </c>
      <c r="AI58" s="96">
        <f t="shared" si="42"/>
        <v>0</v>
      </c>
      <c r="AJ58" s="96">
        <f t="shared" si="43"/>
        <v>0</v>
      </c>
      <c r="AK58" s="97" t="str">
        <f t="shared" si="44"/>
        <v/>
      </c>
      <c r="AL58" s="96">
        <f>(((((AL52)+(AL53))+(AL54))+(AL55))+(AL56))+(AL57)</f>
        <v>0</v>
      </c>
      <c r="AM58" s="96">
        <f>(((((AM52)+(AM53))+(AM54))+(AM55))+(AM56))+(AM57)</f>
        <v>0</v>
      </c>
      <c r="AN58" s="96">
        <f t="shared" si="45"/>
        <v>0</v>
      </c>
      <c r="AO58" s="97" t="str">
        <f t="shared" si="46"/>
        <v/>
      </c>
      <c r="AP58" s="96">
        <f t="shared" si="47"/>
        <v>68234.13</v>
      </c>
      <c r="AQ58" s="96">
        <f t="shared" si="47"/>
        <v>49475</v>
      </c>
      <c r="AR58" s="96">
        <f t="shared" si="48"/>
        <v>18759.130000000005</v>
      </c>
      <c r="AS58" s="97">
        <f t="shared" si="49"/>
        <v>1.3791638201111673</v>
      </c>
    </row>
    <row r="59" spans="1:45" x14ac:dyDescent="0.35">
      <c r="A59" s="92" t="s">
        <v>359</v>
      </c>
      <c r="B59" s="93"/>
      <c r="C59" s="93"/>
      <c r="D59" s="94">
        <f t="shared" si="25"/>
        <v>0</v>
      </c>
      <c r="E59" s="95" t="str">
        <f t="shared" si="26"/>
        <v/>
      </c>
      <c r="F59" s="93"/>
      <c r="G59" s="93"/>
      <c r="H59" s="94">
        <f t="shared" si="27"/>
        <v>0</v>
      </c>
      <c r="I59" s="95" t="str">
        <f t="shared" si="28"/>
        <v/>
      </c>
      <c r="J59" s="93"/>
      <c r="K59" s="93"/>
      <c r="L59" s="94">
        <f t="shared" si="29"/>
        <v>0</v>
      </c>
      <c r="M59" s="95" t="str">
        <f t="shared" si="30"/>
        <v/>
      </c>
      <c r="N59" s="93"/>
      <c r="O59" s="93"/>
      <c r="P59" s="94">
        <f t="shared" si="31"/>
        <v>0</v>
      </c>
      <c r="Q59" s="95" t="str">
        <f t="shared" si="32"/>
        <v/>
      </c>
      <c r="R59" s="93"/>
      <c r="S59" s="93"/>
      <c r="T59" s="94">
        <f t="shared" si="33"/>
        <v>0</v>
      </c>
      <c r="U59" s="95" t="str">
        <f t="shared" si="34"/>
        <v/>
      </c>
      <c r="V59" s="93"/>
      <c r="W59" s="93"/>
      <c r="X59" s="94">
        <f t="shared" si="35"/>
        <v>0</v>
      </c>
      <c r="Y59" s="95" t="str">
        <f t="shared" si="36"/>
        <v/>
      </c>
      <c r="Z59" s="93"/>
      <c r="AA59" s="93"/>
      <c r="AB59" s="94">
        <f t="shared" si="37"/>
        <v>0</v>
      </c>
      <c r="AC59" s="95" t="str">
        <f t="shared" si="38"/>
        <v/>
      </c>
      <c r="AD59" s="94">
        <f t="shared" si="39"/>
        <v>0</v>
      </c>
      <c r="AE59" s="94">
        <f t="shared" si="39"/>
        <v>0</v>
      </c>
      <c r="AF59" s="94">
        <f t="shared" si="40"/>
        <v>0</v>
      </c>
      <c r="AG59" s="95" t="str">
        <f t="shared" si="41"/>
        <v/>
      </c>
      <c r="AH59" s="94">
        <f t="shared" si="42"/>
        <v>0</v>
      </c>
      <c r="AI59" s="94">
        <f t="shared" si="42"/>
        <v>0</v>
      </c>
      <c r="AJ59" s="94">
        <f t="shared" si="43"/>
        <v>0</v>
      </c>
      <c r="AK59" s="95" t="str">
        <f t="shared" si="44"/>
        <v/>
      </c>
      <c r="AL59" s="93"/>
      <c r="AM59" s="93"/>
      <c r="AN59" s="94">
        <f t="shared" si="45"/>
        <v>0</v>
      </c>
      <c r="AO59" s="95" t="str">
        <f t="shared" si="46"/>
        <v/>
      </c>
      <c r="AP59" s="94">
        <f t="shared" si="47"/>
        <v>0</v>
      </c>
      <c r="AQ59" s="94">
        <f t="shared" si="47"/>
        <v>0</v>
      </c>
      <c r="AR59" s="94">
        <f t="shared" si="48"/>
        <v>0</v>
      </c>
      <c r="AS59" s="95" t="str">
        <f t="shared" si="49"/>
        <v/>
      </c>
    </row>
    <row r="60" spans="1:45" x14ac:dyDescent="0.35">
      <c r="A60" s="92" t="s">
        <v>360</v>
      </c>
      <c r="B60" s="94">
        <f>191.17</f>
        <v>191.17</v>
      </c>
      <c r="C60" s="94">
        <f>200</f>
        <v>200</v>
      </c>
      <c r="D60" s="94">
        <f t="shared" si="25"/>
        <v>-8.8300000000000125</v>
      </c>
      <c r="E60" s="95">
        <f t="shared" si="26"/>
        <v>0.95584999999999998</v>
      </c>
      <c r="F60" s="93"/>
      <c r="G60" s="93"/>
      <c r="H60" s="94">
        <f t="shared" si="27"/>
        <v>0</v>
      </c>
      <c r="I60" s="95" t="str">
        <f t="shared" si="28"/>
        <v/>
      </c>
      <c r="J60" s="93"/>
      <c r="K60" s="93"/>
      <c r="L60" s="94">
        <f t="shared" si="29"/>
        <v>0</v>
      </c>
      <c r="M60" s="95" t="str">
        <f t="shared" si="30"/>
        <v/>
      </c>
      <c r="N60" s="93"/>
      <c r="O60" s="93"/>
      <c r="P60" s="94">
        <f t="shared" si="31"/>
        <v>0</v>
      </c>
      <c r="Q60" s="95" t="str">
        <f t="shared" si="32"/>
        <v/>
      </c>
      <c r="R60" s="93"/>
      <c r="S60" s="93"/>
      <c r="T60" s="94">
        <f t="shared" si="33"/>
        <v>0</v>
      </c>
      <c r="U60" s="95" t="str">
        <f t="shared" si="34"/>
        <v/>
      </c>
      <c r="V60" s="93"/>
      <c r="W60" s="93"/>
      <c r="X60" s="94">
        <f t="shared" si="35"/>
        <v>0</v>
      </c>
      <c r="Y60" s="95" t="str">
        <f t="shared" si="36"/>
        <v/>
      </c>
      <c r="Z60" s="93"/>
      <c r="AA60" s="93"/>
      <c r="AB60" s="94">
        <f t="shared" si="37"/>
        <v>0</v>
      </c>
      <c r="AC60" s="95" t="str">
        <f t="shared" si="38"/>
        <v/>
      </c>
      <c r="AD60" s="94">
        <f t="shared" si="39"/>
        <v>0</v>
      </c>
      <c r="AE60" s="94">
        <f t="shared" si="39"/>
        <v>0</v>
      </c>
      <c r="AF60" s="94">
        <f t="shared" si="40"/>
        <v>0</v>
      </c>
      <c r="AG60" s="95" t="str">
        <f t="shared" si="41"/>
        <v/>
      </c>
      <c r="AH60" s="94">
        <f t="shared" si="42"/>
        <v>0</v>
      </c>
      <c r="AI60" s="94">
        <f t="shared" si="42"/>
        <v>0</v>
      </c>
      <c r="AJ60" s="94">
        <f t="shared" si="43"/>
        <v>0</v>
      </c>
      <c r="AK60" s="95" t="str">
        <f t="shared" si="44"/>
        <v/>
      </c>
      <c r="AL60" s="93"/>
      <c r="AM60" s="93"/>
      <c r="AN60" s="94">
        <f t="shared" si="45"/>
        <v>0</v>
      </c>
      <c r="AO60" s="95" t="str">
        <f t="shared" si="46"/>
        <v/>
      </c>
      <c r="AP60" s="94">
        <f t="shared" si="47"/>
        <v>191.17</v>
      </c>
      <c r="AQ60" s="94">
        <f t="shared" si="47"/>
        <v>200</v>
      </c>
      <c r="AR60" s="94">
        <f t="shared" si="48"/>
        <v>-8.8300000000000125</v>
      </c>
      <c r="AS60" s="95">
        <f t="shared" si="49"/>
        <v>0.95584999999999998</v>
      </c>
    </row>
    <row r="61" spans="1:45" x14ac:dyDescent="0.35">
      <c r="A61" s="92" t="s">
        <v>361</v>
      </c>
      <c r="B61" s="94">
        <f>797.82</f>
        <v>797.82</v>
      </c>
      <c r="C61" s="94">
        <f>1125</f>
        <v>1125</v>
      </c>
      <c r="D61" s="94">
        <f t="shared" si="25"/>
        <v>-327.17999999999995</v>
      </c>
      <c r="E61" s="95">
        <f t="shared" si="26"/>
        <v>0.70917333333333343</v>
      </c>
      <c r="F61" s="93"/>
      <c r="G61" s="93"/>
      <c r="H61" s="94">
        <f t="shared" si="27"/>
        <v>0</v>
      </c>
      <c r="I61" s="95" t="str">
        <f t="shared" si="28"/>
        <v/>
      </c>
      <c r="J61" s="93"/>
      <c r="K61" s="93"/>
      <c r="L61" s="94">
        <f t="shared" si="29"/>
        <v>0</v>
      </c>
      <c r="M61" s="95" t="str">
        <f t="shared" si="30"/>
        <v/>
      </c>
      <c r="N61" s="93"/>
      <c r="O61" s="93"/>
      <c r="P61" s="94">
        <f t="shared" si="31"/>
        <v>0</v>
      </c>
      <c r="Q61" s="95" t="str">
        <f t="shared" si="32"/>
        <v/>
      </c>
      <c r="R61" s="93"/>
      <c r="S61" s="93"/>
      <c r="T61" s="94">
        <f t="shared" si="33"/>
        <v>0</v>
      </c>
      <c r="U61" s="95" t="str">
        <f t="shared" si="34"/>
        <v/>
      </c>
      <c r="V61" s="93"/>
      <c r="W61" s="93"/>
      <c r="X61" s="94">
        <f t="shared" si="35"/>
        <v>0</v>
      </c>
      <c r="Y61" s="95" t="str">
        <f t="shared" si="36"/>
        <v/>
      </c>
      <c r="Z61" s="93"/>
      <c r="AA61" s="93"/>
      <c r="AB61" s="94">
        <f t="shared" si="37"/>
        <v>0</v>
      </c>
      <c r="AC61" s="95" t="str">
        <f t="shared" si="38"/>
        <v/>
      </c>
      <c r="AD61" s="94">
        <f t="shared" si="39"/>
        <v>0</v>
      </c>
      <c r="AE61" s="94">
        <f t="shared" si="39"/>
        <v>0</v>
      </c>
      <c r="AF61" s="94">
        <f t="shared" si="40"/>
        <v>0</v>
      </c>
      <c r="AG61" s="95" t="str">
        <f t="shared" si="41"/>
        <v/>
      </c>
      <c r="AH61" s="94">
        <f t="shared" si="42"/>
        <v>0</v>
      </c>
      <c r="AI61" s="94">
        <f t="shared" si="42"/>
        <v>0</v>
      </c>
      <c r="AJ61" s="94">
        <f t="shared" si="43"/>
        <v>0</v>
      </c>
      <c r="AK61" s="95" t="str">
        <f t="shared" si="44"/>
        <v/>
      </c>
      <c r="AL61" s="93"/>
      <c r="AM61" s="93"/>
      <c r="AN61" s="94">
        <f t="shared" si="45"/>
        <v>0</v>
      </c>
      <c r="AO61" s="95" t="str">
        <f t="shared" si="46"/>
        <v/>
      </c>
      <c r="AP61" s="94">
        <f t="shared" si="47"/>
        <v>797.82</v>
      </c>
      <c r="AQ61" s="94">
        <f t="shared" si="47"/>
        <v>1125</v>
      </c>
      <c r="AR61" s="94">
        <f t="shared" si="48"/>
        <v>-327.17999999999995</v>
      </c>
      <c r="AS61" s="95">
        <f t="shared" si="49"/>
        <v>0.70917333333333343</v>
      </c>
    </row>
    <row r="62" spans="1:45" x14ac:dyDescent="0.35">
      <c r="A62" s="92" t="s">
        <v>362</v>
      </c>
      <c r="B62" s="93"/>
      <c r="C62" s="94">
        <f>125</f>
        <v>125</v>
      </c>
      <c r="D62" s="94">
        <f t="shared" si="25"/>
        <v>-125</v>
      </c>
      <c r="E62" s="95">
        <f t="shared" si="26"/>
        <v>0</v>
      </c>
      <c r="F62" s="93"/>
      <c r="G62" s="93"/>
      <c r="H62" s="94">
        <f t="shared" si="27"/>
        <v>0</v>
      </c>
      <c r="I62" s="95" t="str">
        <f t="shared" si="28"/>
        <v/>
      </c>
      <c r="J62" s="93"/>
      <c r="K62" s="93"/>
      <c r="L62" s="94">
        <f t="shared" si="29"/>
        <v>0</v>
      </c>
      <c r="M62" s="95" t="str">
        <f t="shared" si="30"/>
        <v/>
      </c>
      <c r="N62" s="93"/>
      <c r="O62" s="93"/>
      <c r="P62" s="94">
        <f t="shared" si="31"/>
        <v>0</v>
      </c>
      <c r="Q62" s="95" t="str">
        <f t="shared" si="32"/>
        <v/>
      </c>
      <c r="R62" s="93"/>
      <c r="S62" s="93"/>
      <c r="T62" s="94">
        <f t="shared" si="33"/>
        <v>0</v>
      </c>
      <c r="U62" s="95" t="str">
        <f t="shared" si="34"/>
        <v/>
      </c>
      <c r="V62" s="93"/>
      <c r="W62" s="93"/>
      <c r="X62" s="94">
        <f t="shared" si="35"/>
        <v>0</v>
      </c>
      <c r="Y62" s="95" t="str">
        <f t="shared" si="36"/>
        <v/>
      </c>
      <c r="Z62" s="93"/>
      <c r="AA62" s="93"/>
      <c r="AB62" s="94">
        <f t="shared" si="37"/>
        <v>0</v>
      </c>
      <c r="AC62" s="95" t="str">
        <f t="shared" si="38"/>
        <v/>
      </c>
      <c r="AD62" s="94">
        <f t="shared" si="39"/>
        <v>0</v>
      </c>
      <c r="AE62" s="94">
        <f t="shared" si="39"/>
        <v>0</v>
      </c>
      <c r="AF62" s="94">
        <f t="shared" si="40"/>
        <v>0</v>
      </c>
      <c r="AG62" s="95" t="str">
        <f t="shared" si="41"/>
        <v/>
      </c>
      <c r="AH62" s="94">
        <f t="shared" si="42"/>
        <v>0</v>
      </c>
      <c r="AI62" s="94">
        <f t="shared" si="42"/>
        <v>0</v>
      </c>
      <c r="AJ62" s="94">
        <f t="shared" si="43"/>
        <v>0</v>
      </c>
      <c r="AK62" s="95" t="str">
        <f t="shared" si="44"/>
        <v/>
      </c>
      <c r="AL62" s="93"/>
      <c r="AM62" s="93"/>
      <c r="AN62" s="94">
        <f t="shared" si="45"/>
        <v>0</v>
      </c>
      <c r="AO62" s="95" t="str">
        <f t="shared" si="46"/>
        <v/>
      </c>
      <c r="AP62" s="94">
        <f t="shared" si="47"/>
        <v>0</v>
      </c>
      <c r="AQ62" s="94">
        <f t="shared" si="47"/>
        <v>125</v>
      </c>
      <c r="AR62" s="94">
        <f t="shared" si="48"/>
        <v>-125</v>
      </c>
      <c r="AS62" s="95">
        <f t="shared" si="49"/>
        <v>0</v>
      </c>
    </row>
    <row r="63" spans="1:45" x14ac:dyDescent="0.35">
      <c r="A63" s="92" t="s">
        <v>363</v>
      </c>
      <c r="B63" s="96">
        <f>(((B59)+(B60))+(B61))+(B62)</f>
        <v>988.99</v>
      </c>
      <c r="C63" s="96">
        <f>(((C59)+(C60))+(C61))+(C62)</f>
        <v>1450</v>
      </c>
      <c r="D63" s="96">
        <f t="shared" si="25"/>
        <v>-461.01</v>
      </c>
      <c r="E63" s="97">
        <f t="shared" si="26"/>
        <v>0.68206206896551724</v>
      </c>
      <c r="F63" s="96">
        <f>(((F59)+(F60))+(F61))+(F62)</f>
        <v>0</v>
      </c>
      <c r="G63" s="96">
        <f>(((G59)+(G60))+(G61))+(G62)</f>
        <v>0</v>
      </c>
      <c r="H63" s="96">
        <f t="shared" si="27"/>
        <v>0</v>
      </c>
      <c r="I63" s="97" t="str">
        <f t="shared" si="28"/>
        <v/>
      </c>
      <c r="J63" s="96">
        <f>(((J59)+(J60))+(J61))+(J62)</f>
        <v>0</v>
      </c>
      <c r="K63" s="96">
        <f>(((K59)+(K60))+(K61))+(K62)</f>
        <v>0</v>
      </c>
      <c r="L63" s="96">
        <f t="shared" si="29"/>
        <v>0</v>
      </c>
      <c r="M63" s="97" t="str">
        <f t="shared" si="30"/>
        <v/>
      </c>
      <c r="N63" s="96">
        <f>(((N59)+(N60))+(N61))+(N62)</f>
        <v>0</v>
      </c>
      <c r="O63" s="96">
        <f>(((O59)+(O60))+(O61))+(O62)</f>
        <v>0</v>
      </c>
      <c r="P63" s="96">
        <f t="shared" si="31"/>
        <v>0</v>
      </c>
      <c r="Q63" s="97" t="str">
        <f t="shared" si="32"/>
        <v/>
      </c>
      <c r="R63" s="96">
        <f>(((R59)+(R60))+(R61))+(R62)</f>
        <v>0</v>
      </c>
      <c r="S63" s="96">
        <f>(((S59)+(S60))+(S61))+(S62)</f>
        <v>0</v>
      </c>
      <c r="T63" s="96">
        <f t="shared" si="33"/>
        <v>0</v>
      </c>
      <c r="U63" s="97" t="str">
        <f t="shared" si="34"/>
        <v/>
      </c>
      <c r="V63" s="96">
        <f>(((V59)+(V60))+(V61))+(V62)</f>
        <v>0</v>
      </c>
      <c r="W63" s="96">
        <f>(((W59)+(W60))+(W61))+(W62)</f>
        <v>0</v>
      </c>
      <c r="X63" s="96">
        <f t="shared" si="35"/>
        <v>0</v>
      </c>
      <c r="Y63" s="97" t="str">
        <f t="shared" si="36"/>
        <v/>
      </c>
      <c r="Z63" s="96">
        <f>(((Z59)+(Z60))+(Z61))+(Z62)</f>
        <v>0</v>
      </c>
      <c r="AA63" s="96">
        <f>(((AA59)+(AA60))+(AA61))+(AA62)</f>
        <v>0</v>
      </c>
      <c r="AB63" s="96">
        <f t="shared" si="37"/>
        <v>0</v>
      </c>
      <c r="AC63" s="97" t="str">
        <f t="shared" si="38"/>
        <v/>
      </c>
      <c r="AD63" s="96">
        <f t="shared" si="39"/>
        <v>0</v>
      </c>
      <c r="AE63" s="96">
        <f t="shared" si="39"/>
        <v>0</v>
      </c>
      <c r="AF63" s="96">
        <f t="shared" si="40"/>
        <v>0</v>
      </c>
      <c r="AG63" s="97" t="str">
        <f t="shared" si="41"/>
        <v/>
      </c>
      <c r="AH63" s="96">
        <f t="shared" si="42"/>
        <v>0</v>
      </c>
      <c r="AI63" s="96">
        <f t="shared" si="42"/>
        <v>0</v>
      </c>
      <c r="AJ63" s="96">
        <f t="shared" si="43"/>
        <v>0</v>
      </c>
      <c r="AK63" s="97" t="str">
        <f t="shared" si="44"/>
        <v/>
      </c>
      <c r="AL63" s="96">
        <f>(((AL59)+(AL60))+(AL61))+(AL62)</f>
        <v>0</v>
      </c>
      <c r="AM63" s="96">
        <f>(((AM59)+(AM60))+(AM61))+(AM62)</f>
        <v>0</v>
      </c>
      <c r="AN63" s="96">
        <f t="shared" si="45"/>
        <v>0</v>
      </c>
      <c r="AO63" s="97" t="str">
        <f t="shared" si="46"/>
        <v/>
      </c>
      <c r="AP63" s="96">
        <f t="shared" si="47"/>
        <v>988.99</v>
      </c>
      <c r="AQ63" s="96">
        <f t="shared" si="47"/>
        <v>1450</v>
      </c>
      <c r="AR63" s="96">
        <f t="shared" si="48"/>
        <v>-461.01</v>
      </c>
      <c r="AS63" s="97">
        <f t="shared" si="49"/>
        <v>0.68206206896551724</v>
      </c>
    </row>
    <row r="64" spans="1:45" x14ac:dyDescent="0.35">
      <c r="A64" s="92" t="s">
        <v>364</v>
      </c>
      <c r="B64" s="93"/>
      <c r="C64" s="93"/>
      <c r="D64" s="94">
        <f t="shared" si="25"/>
        <v>0</v>
      </c>
      <c r="E64" s="95" t="str">
        <f t="shared" si="26"/>
        <v/>
      </c>
      <c r="F64" s="93"/>
      <c r="G64" s="93"/>
      <c r="H64" s="94">
        <f t="shared" si="27"/>
        <v>0</v>
      </c>
      <c r="I64" s="95" t="str">
        <f t="shared" si="28"/>
        <v/>
      </c>
      <c r="J64" s="93"/>
      <c r="K64" s="93"/>
      <c r="L64" s="94">
        <f t="shared" si="29"/>
        <v>0</v>
      </c>
      <c r="M64" s="95" t="str">
        <f t="shared" si="30"/>
        <v/>
      </c>
      <c r="N64" s="93"/>
      <c r="O64" s="93"/>
      <c r="P64" s="94">
        <f t="shared" si="31"/>
        <v>0</v>
      </c>
      <c r="Q64" s="95" t="str">
        <f t="shared" si="32"/>
        <v/>
      </c>
      <c r="R64" s="93"/>
      <c r="S64" s="93"/>
      <c r="T64" s="94">
        <f t="shared" si="33"/>
        <v>0</v>
      </c>
      <c r="U64" s="95" t="str">
        <f t="shared" si="34"/>
        <v/>
      </c>
      <c r="V64" s="93"/>
      <c r="W64" s="93"/>
      <c r="X64" s="94">
        <f t="shared" si="35"/>
        <v>0</v>
      </c>
      <c r="Y64" s="95" t="str">
        <f t="shared" si="36"/>
        <v/>
      </c>
      <c r="Z64" s="93"/>
      <c r="AA64" s="93"/>
      <c r="AB64" s="94">
        <f t="shared" si="37"/>
        <v>0</v>
      </c>
      <c r="AC64" s="95" t="str">
        <f t="shared" si="38"/>
        <v/>
      </c>
      <c r="AD64" s="94">
        <f t="shared" si="39"/>
        <v>0</v>
      </c>
      <c r="AE64" s="94">
        <f t="shared" si="39"/>
        <v>0</v>
      </c>
      <c r="AF64" s="94">
        <f t="shared" si="40"/>
        <v>0</v>
      </c>
      <c r="AG64" s="95" t="str">
        <f t="shared" si="41"/>
        <v/>
      </c>
      <c r="AH64" s="94">
        <f t="shared" si="42"/>
        <v>0</v>
      </c>
      <c r="AI64" s="94">
        <f t="shared" si="42"/>
        <v>0</v>
      </c>
      <c r="AJ64" s="94">
        <f t="shared" si="43"/>
        <v>0</v>
      </c>
      <c r="AK64" s="95" t="str">
        <f t="shared" si="44"/>
        <v/>
      </c>
      <c r="AL64" s="93"/>
      <c r="AM64" s="93"/>
      <c r="AN64" s="94">
        <f t="shared" si="45"/>
        <v>0</v>
      </c>
      <c r="AO64" s="95" t="str">
        <f t="shared" si="46"/>
        <v/>
      </c>
      <c r="AP64" s="94">
        <f t="shared" si="47"/>
        <v>0</v>
      </c>
      <c r="AQ64" s="94">
        <f t="shared" si="47"/>
        <v>0</v>
      </c>
      <c r="AR64" s="94">
        <f t="shared" si="48"/>
        <v>0</v>
      </c>
      <c r="AS64" s="95" t="str">
        <f t="shared" si="49"/>
        <v/>
      </c>
    </row>
    <row r="65" spans="1:45" x14ac:dyDescent="0.35">
      <c r="A65" s="92" t="s">
        <v>365</v>
      </c>
      <c r="B65" s="93"/>
      <c r="C65" s="94">
        <f>0</f>
        <v>0</v>
      </c>
      <c r="D65" s="94">
        <f t="shared" si="25"/>
        <v>0</v>
      </c>
      <c r="E65" s="95" t="str">
        <f t="shared" si="26"/>
        <v/>
      </c>
      <c r="F65" s="93"/>
      <c r="G65" s="93"/>
      <c r="H65" s="94">
        <f t="shared" si="27"/>
        <v>0</v>
      </c>
      <c r="I65" s="95" t="str">
        <f t="shared" si="28"/>
        <v/>
      </c>
      <c r="J65" s="93"/>
      <c r="K65" s="93"/>
      <c r="L65" s="94">
        <f t="shared" si="29"/>
        <v>0</v>
      </c>
      <c r="M65" s="95" t="str">
        <f t="shared" si="30"/>
        <v/>
      </c>
      <c r="N65" s="93"/>
      <c r="O65" s="93"/>
      <c r="P65" s="94">
        <f t="shared" si="31"/>
        <v>0</v>
      </c>
      <c r="Q65" s="95" t="str">
        <f t="shared" si="32"/>
        <v/>
      </c>
      <c r="R65" s="93"/>
      <c r="S65" s="93"/>
      <c r="T65" s="94">
        <f t="shared" si="33"/>
        <v>0</v>
      </c>
      <c r="U65" s="95" t="str">
        <f t="shared" si="34"/>
        <v/>
      </c>
      <c r="V65" s="93"/>
      <c r="W65" s="93"/>
      <c r="X65" s="94">
        <f t="shared" si="35"/>
        <v>0</v>
      </c>
      <c r="Y65" s="95" t="str">
        <f t="shared" si="36"/>
        <v/>
      </c>
      <c r="Z65" s="93"/>
      <c r="AA65" s="93"/>
      <c r="AB65" s="94">
        <f t="shared" si="37"/>
        <v>0</v>
      </c>
      <c r="AC65" s="95" t="str">
        <f t="shared" si="38"/>
        <v/>
      </c>
      <c r="AD65" s="94">
        <f t="shared" si="39"/>
        <v>0</v>
      </c>
      <c r="AE65" s="94">
        <f t="shared" si="39"/>
        <v>0</v>
      </c>
      <c r="AF65" s="94">
        <f t="shared" si="40"/>
        <v>0</v>
      </c>
      <c r="AG65" s="95" t="str">
        <f t="shared" si="41"/>
        <v/>
      </c>
      <c r="AH65" s="94">
        <f t="shared" si="42"/>
        <v>0</v>
      </c>
      <c r="AI65" s="94">
        <f t="shared" si="42"/>
        <v>0</v>
      </c>
      <c r="AJ65" s="94">
        <f t="shared" si="43"/>
        <v>0</v>
      </c>
      <c r="AK65" s="95" t="str">
        <f t="shared" si="44"/>
        <v/>
      </c>
      <c r="AL65" s="93"/>
      <c r="AM65" s="93"/>
      <c r="AN65" s="94">
        <f t="shared" si="45"/>
        <v>0</v>
      </c>
      <c r="AO65" s="95" t="str">
        <f t="shared" si="46"/>
        <v/>
      </c>
      <c r="AP65" s="94">
        <f t="shared" si="47"/>
        <v>0</v>
      </c>
      <c r="AQ65" s="94">
        <f t="shared" si="47"/>
        <v>0</v>
      </c>
      <c r="AR65" s="94">
        <f t="shared" si="48"/>
        <v>0</v>
      </c>
      <c r="AS65" s="95" t="str">
        <f t="shared" si="49"/>
        <v/>
      </c>
    </row>
    <row r="66" spans="1:45" x14ac:dyDescent="0.35">
      <c r="A66" s="92" t="s">
        <v>366</v>
      </c>
      <c r="B66" s="94">
        <f>4051.97</f>
        <v>4051.97</v>
      </c>
      <c r="C66" s="94">
        <f>4093.35</f>
        <v>4093.35</v>
      </c>
      <c r="D66" s="94">
        <f t="shared" si="25"/>
        <v>-41.380000000000109</v>
      </c>
      <c r="E66" s="95">
        <f t="shared" si="26"/>
        <v>0.98989092063957396</v>
      </c>
      <c r="F66" s="93"/>
      <c r="G66" s="93"/>
      <c r="H66" s="94">
        <f t="shared" si="27"/>
        <v>0</v>
      </c>
      <c r="I66" s="95" t="str">
        <f t="shared" si="28"/>
        <v/>
      </c>
      <c r="J66" s="93"/>
      <c r="K66" s="93"/>
      <c r="L66" s="94">
        <f t="shared" si="29"/>
        <v>0</v>
      </c>
      <c r="M66" s="95" t="str">
        <f t="shared" si="30"/>
        <v/>
      </c>
      <c r="N66" s="93"/>
      <c r="O66" s="93"/>
      <c r="P66" s="94">
        <f t="shared" si="31"/>
        <v>0</v>
      </c>
      <c r="Q66" s="95" t="str">
        <f t="shared" si="32"/>
        <v/>
      </c>
      <c r="R66" s="93"/>
      <c r="S66" s="93"/>
      <c r="T66" s="94">
        <f t="shared" si="33"/>
        <v>0</v>
      </c>
      <c r="U66" s="95" t="str">
        <f t="shared" si="34"/>
        <v/>
      </c>
      <c r="V66" s="93"/>
      <c r="W66" s="93"/>
      <c r="X66" s="94">
        <f t="shared" si="35"/>
        <v>0</v>
      </c>
      <c r="Y66" s="95" t="str">
        <f t="shared" si="36"/>
        <v/>
      </c>
      <c r="Z66" s="93"/>
      <c r="AA66" s="93"/>
      <c r="AB66" s="94">
        <f t="shared" si="37"/>
        <v>0</v>
      </c>
      <c r="AC66" s="95" t="str">
        <f t="shared" si="38"/>
        <v/>
      </c>
      <c r="AD66" s="94">
        <f t="shared" si="39"/>
        <v>0</v>
      </c>
      <c r="AE66" s="94">
        <f t="shared" si="39"/>
        <v>0</v>
      </c>
      <c r="AF66" s="94">
        <f t="shared" si="40"/>
        <v>0</v>
      </c>
      <c r="AG66" s="95" t="str">
        <f t="shared" si="41"/>
        <v/>
      </c>
      <c r="AH66" s="94">
        <f t="shared" si="42"/>
        <v>0</v>
      </c>
      <c r="AI66" s="94">
        <f t="shared" si="42"/>
        <v>0</v>
      </c>
      <c r="AJ66" s="94">
        <f t="shared" si="43"/>
        <v>0</v>
      </c>
      <c r="AK66" s="95" t="str">
        <f t="shared" si="44"/>
        <v/>
      </c>
      <c r="AL66" s="93"/>
      <c r="AM66" s="93"/>
      <c r="AN66" s="94">
        <f t="shared" si="45"/>
        <v>0</v>
      </c>
      <c r="AO66" s="95" t="str">
        <f t="shared" si="46"/>
        <v/>
      </c>
      <c r="AP66" s="94">
        <f t="shared" si="47"/>
        <v>4051.97</v>
      </c>
      <c r="AQ66" s="94">
        <f t="shared" si="47"/>
        <v>4093.35</v>
      </c>
      <c r="AR66" s="94">
        <f t="shared" si="48"/>
        <v>-41.380000000000109</v>
      </c>
      <c r="AS66" s="95">
        <f t="shared" si="49"/>
        <v>0.98989092063957396</v>
      </c>
    </row>
    <row r="67" spans="1:45" x14ac:dyDescent="0.35">
      <c r="A67" s="92" t="s">
        <v>367</v>
      </c>
      <c r="B67" s="94">
        <f>1133.66</f>
        <v>1133.6600000000001</v>
      </c>
      <c r="C67" s="94">
        <f>1334.6</f>
        <v>1334.6</v>
      </c>
      <c r="D67" s="94">
        <f t="shared" si="25"/>
        <v>-200.93999999999983</v>
      </c>
      <c r="E67" s="95">
        <f t="shared" si="26"/>
        <v>0.84943803386782568</v>
      </c>
      <c r="F67" s="93"/>
      <c r="G67" s="93"/>
      <c r="H67" s="94">
        <f t="shared" si="27"/>
        <v>0</v>
      </c>
      <c r="I67" s="95" t="str">
        <f t="shared" si="28"/>
        <v/>
      </c>
      <c r="J67" s="93"/>
      <c r="K67" s="93"/>
      <c r="L67" s="94">
        <f t="shared" si="29"/>
        <v>0</v>
      </c>
      <c r="M67" s="95" t="str">
        <f t="shared" si="30"/>
        <v/>
      </c>
      <c r="N67" s="93"/>
      <c r="O67" s="93"/>
      <c r="P67" s="94">
        <f t="shared" si="31"/>
        <v>0</v>
      </c>
      <c r="Q67" s="95" t="str">
        <f t="shared" si="32"/>
        <v/>
      </c>
      <c r="R67" s="93"/>
      <c r="S67" s="93"/>
      <c r="T67" s="94">
        <f t="shared" si="33"/>
        <v>0</v>
      </c>
      <c r="U67" s="95" t="str">
        <f t="shared" si="34"/>
        <v/>
      </c>
      <c r="V67" s="94">
        <f>429.36</f>
        <v>429.36</v>
      </c>
      <c r="W67" s="93"/>
      <c r="X67" s="94">
        <f t="shared" si="35"/>
        <v>429.36</v>
      </c>
      <c r="Y67" s="95" t="str">
        <f t="shared" si="36"/>
        <v/>
      </c>
      <c r="Z67" s="93"/>
      <c r="AA67" s="93"/>
      <c r="AB67" s="94">
        <f t="shared" si="37"/>
        <v>0</v>
      </c>
      <c r="AC67" s="95" t="str">
        <f t="shared" si="38"/>
        <v/>
      </c>
      <c r="AD67" s="94">
        <f t="shared" si="39"/>
        <v>429.36</v>
      </c>
      <c r="AE67" s="94">
        <f t="shared" si="39"/>
        <v>0</v>
      </c>
      <c r="AF67" s="94">
        <f t="shared" si="40"/>
        <v>429.36</v>
      </c>
      <c r="AG67" s="95" t="str">
        <f t="shared" si="41"/>
        <v/>
      </c>
      <c r="AH67" s="94">
        <f t="shared" si="42"/>
        <v>429.36</v>
      </c>
      <c r="AI67" s="94">
        <f t="shared" si="42"/>
        <v>0</v>
      </c>
      <c r="AJ67" s="94">
        <f t="shared" si="43"/>
        <v>429.36</v>
      </c>
      <c r="AK67" s="95" t="str">
        <f t="shared" si="44"/>
        <v/>
      </c>
      <c r="AL67" s="93"/>
      <c r="AM67" s="93"/>
      <c r="AN67" s="94">
        <f t="shared" si="45"/>
        <v>0</v>
      </c>
      <c r="AO67" s="95" t="str">
        <f t="shared" si="46"/>
        <v/>
      </c>
      <c r="AP67" s="94">
        <f t="shared" si="47"/>
        <v>1563.02</v>
      </c>
      <c r="AQ67" s="94">
        <f t="shared" si="47"/>
        <v>1334.6</v>
      </c>
      <c r="AR67" s="94">
        <f t="shared" si="48"/>
        <v>228.42000000000007</v>
      </c>
      <c r="AS67" s="95">
        <f t="shared" si="49"/>
        <v>1.1711524052150457</v>
      </c>
    </row>
    <row r="68" spans="1:45" x14ac:dyDescent="0.35">
      <c r="A68" s="92" t="s">
        <v>368</v>
      </c>
      <c r="B68" s="94">
        <f>937</f>
        <v>937</v>
      </c>
      <c r="C68" s="94">
        <f>625</f>
        <v>625</v>
      </c>
      <c r="D68" s="94">
        <f t="shared" si="25"/>
        <v>312</v>
      </c>
      <c r="E68" s="95">
        <f t="shared" si="26"/>
        <v>1.4992000000000001</v>
      </c>
      <c r="F68" s="93"/>
      <c r="G68" s="93"/>
      <c r="H68" s="94">
        <f t="shared" si="27"/>
        <v>0</v>
      </c>
      <c r="I68" s="95" t="str">
        <f t="shared" si="28"/>
        <v/>
      </c>
      <c r="J68" s="93"/>
      <c r="K68" s="93"/>
      <c r="L68" s="94">
        <f t="shared" si="29"/>
        <v>0</v>
      </c>
      <c r="M68" s="95" t="str">
        <f t="shared" si="30"/>
        <v/>
      </c>
      <c r="N68" s="93"/>
      <c r="O68" s="93"/>
      <c r="P68" s="94">
        <f t="shared" si="31"/>
        <v>0</v>
      </c>
      <c r="Q68" s="95" t="str">
        <f t="shared" si="32"/>
        <v/>
      </c>
      <c r="R68" s="93"/>
      <c r="S68" s="93"/>
      <c r="T68" s="94">
        <f t="shared" si="33"/>
        <v>0</v>
      </c>
      <c r="U68" s="95" t="str">
        <f t="shared" si="34"/>
        <v/>
      </c>
      <c r="V68" s="93"/>
      <c r="W68" s="93"/>
      <c r="X68" s="94">
        <f t="shared" si="35"/>
        <v>0</v>
      </c>
      <c r="Y68" s="95" t="str">
        <f t="shared" si="36"/>
        <v/>
      </c>
      <c r="Z68" s="93"/>
      <c r="AA68" s="93"/>
      <c r="AB68" s="94">
        <f t="shared" si="37"/>
        <v>0</v>
      </c>
      <c r="AC68" s="95" t="str">
        <f t="shared" si="38"/>
        <v/>
      </c>
      <c r="AD68" s="94">
        <f t="shared" si="39"/>
        <v>0</v>
      </c>
      <c r="AE68" s="94">
        <f t="shared" si="39"/>
        <v>0</v>
      </c>
      <c r="AF68" s="94">
        <f t="shared" si="40"/>
        <v>0</v>
      </c>
      <c r="AG68" s="95" t="str">
        <f t="shared" si="41"/>
        <v/>
      </c>
      <c r="AH68" s="94">
        <f t="shared" si="42"/>
        <v>0</v>
      </c>
      <c r="AI68" s="94">
        <f t="shared" si="42"/>
        <v>0</v>
      </c>
      <c r="AJ68" s="94">
        <f t="shared" si="43"/>
        <v>0</v>
      </c>
      <c r="AK68" s="95" t="str">
        <f t="shared" si="44"/>
        <v/>
      </c>
      <c r="AL68" s="93"/>
      <c r="AM68" s="93"/>
      <c r="AN68" s="94">
        <f t="shared" si="45"/>
        <v>0</v>
      </c>
      <c r="AO68" s="95" t="str">
        <f t="shared" si="46"/>
        <v/>
      </c>
      <c r="AP68" s="94">
        <f t="shared" si="47"/>
        <v>937</v>
      </c>
      <c r="AQ68" s="94">
        <f t="shared" si="47"/>
        <v>625</v>
      </c>
      <c r="AR68" s="94">
        <f t="shared" si="48"/>
        <v>312</v>
      </c>
      <c r="AS68" s="95">
        <f t="shared" si="49"/>
        <v>1.4992000000000001</v>
      </c>
    </row>
    <row r="69" spans="1:45" x14ac:dyDescent="0.35">
      <c r="A69" s="92" t="s">
        <v>369</v>
      </c>
      <c r="B69" s="94">
        <f>1395</f>
        <v>1395</v>
      </c>
      <c r="C69" s="94">
        <f>1400</f>
        <v>1400</v>
      </c>
      <c r="D69" s="94">
        <f t="shared" si="25"/>
        <v>-5</v>
      </c>
      <c r="E69" s="95">
        <f t="shared" si="26"/>
        <v>0.99642857142857144</v>
      </c>
      <c r="F69" s="93"/>
      <c r="G69" s="93"/>
      <c r="H69" s="94">
        <f t="shared" si="27"/>
        <v>0</v>
      </c>
      <c r="I69" s="95" t="str">
        <f t="shared" si="28"/>
        <v/>
      </c>
      <c r="J69" s="93"/>
      <c r="K69" s="93"/>
      <c r="L69" s="94">
        <f t="shared" si="29"/>
        <v>0</v>
      </c>
      <c r="M69" s="95" t="str">
        <f t="shared" si="30"/>
        <v/>
      </c>
      <c r="N69" s="93"/>
      <c r="O69" s="93"/>
      <c r="P69" s="94">
        <f t="shared" si="31"/>
        <v>0</v>
      </c>
      <c r="Q69" s="95" t="str">
        <f t="shared" si="32"/>
        <v/>
      </c>
      <c r="R69" s="93"/>
      <c r="S69" s="93"/>
      <c r="T69" s="94">
        <f t="shared" si="33"/>
        <v>0</v>
      </c>
      <c r="U69" s="95" t="str">
        <f t="shared" si="34"/>
        <v/>
      </c>
      <c r="V69" s="93"/>
      <c r="W69" s="93"/>
      <c r="X69" s="94">
        <f t="shared" si="35"/>
        <v>0</v>
      </c>
      <c r="Y69" s="95" t="str">
        <f t="shared" si="36"/>
        <v/>
      </c>
      <c r="Z69" s="93"/>
      <c r="AA69" s="93"/>
      <c r="AB69" s="94">
        <f t="shared" si="37"/>
        <v>0</v>
      </c>
      <c r="AC69" s="95" t="str">
        <f t="shared" si="38"/>
        <v/>
      </c>
      <c r="AD69" s="94">
        <f t="shared" si="39"/>
        <v>0</v>
      </c>
      <c r="AE69" s="94">
        <f t="shared" si="39"/>
        <v>0</v>
      </c>
      <c r="AF69" s="94">
        <f t="shared" si="40"/>
        <v>0</v>
      </c>
      <c r="AG69" s="95" t="str">
        <f t="shared" si="41"/>
        <v/>
      </c>
      <c r="AH69" s="94">
        <f t="shared" si="42"/>
        <v>0</v>
      </c>
      <c r="AI69" s="94">
        <f t="shared" si="42"/>
        <v>0</v>
      </c>
      <c r="AJ69" s="94">
        <f t="shared" si="43"/>
        <v>0</v>
      </c>
      <c r="AK69" s="95" t="str">
        <f t="shared" si="44"/>
        <v/>
      </c>
      <c r="AL69" s="93"/>
      <c r="AM69" s="93"/>
      <c r="AN69" s="94">
        <f t="shared" si="45"/>
        <v>0</v>
      </c>
      <c r="AO69" s="95" t="str">
        <f t="shared" si="46"/>
        <v/>
      </c>
      <c r="AP69" s="94">
        <f t="shared" si="47"/>
        <v>1395</v>
      </c>
      <c r="AQ69" s="94">
        <f t="shared" si="47"/>
        <v>1400</v>
      </c>
      <c r="AR69" s="94">
        <f t="shared" si="48"/>
        <v>-5</v>
      </c>
      <c r="AS69" s="95">
        <f t="shared" si="49"/>
        <v>0.99642857142857144</v>
      </c>
    </row>
    <row r="70" spans="1:45" x14ac:dyDescent="0.35">
      <c r="A70" s="92" t="s">
        <v>370</v>
      </c>
      <c r="B70" s="93"/>
      <c r="C70" s="94">
        <f>250</f>
        <v>250</v>
      </c>
      <c r="D70" s="94">
        <f t="shared" si="25"/>
        <v>-250</v>
      </c>
      <c r="E70" s="95">
        <f t="shared" si="26"/>
        <v>0</v>
      </c>
      <c r="F70" s="93"/>
      <c r="G70" s="93"/>
      <c r="H70" s="94">
        <f t="shared" si="27"/>
        <v>0</v>
      </c>
      <c r="I70" s="95" t="str">
        <f t="shared" si="28"/>
        <v/>
      </c>
      <c r="J70" s="93"/>
      <c r="K70" s="93"/>
      <c r="L70" s="94">
        <f t="shared" si="29"/>
        <v>0</v>
      </c>
      <c r="M70" s="95" t="str">
        <f t="shared" si="30"/>
        <v/>
      </c>
      <c r="N70" s="93"/>
      <c r="O70" s="93"/>
      <c r="P70" s="94">
        <f t="shared" si="31"/>
        <v>0</v>
      </c>
      <c r="Q70" s="95" t="str">
        <f t="shared" si="32"/>
        <v/>
      </c>
      <c r="R70" s="93"/>
      <c r="S70" s="93"/>
      <c r="T70" s="94">
        <f t="shared" si="33"/>
        <v>0</v>
      </c>
      <c r="U70" s="95" t="str">
        <f t="shared" si="34"/>
        <v/>
      </c>
      <c r="V70" s="93"/>
      <c r="W70" s="93"/>
      <c r="X70" s="94">
        <f t="shared" si="35"/>
        <v>0</v>
      </c>
      <c r="Y70" s="95" t="str">
        <f t="shared" si="36"/>
        <v/>
      </c>
      <c r="Z70" s="93"/>
      <c r="AA70" s="93"/>
      <c r="AB70" s="94">
        <f t="shared" si="37"/>
        <v>0</v>
      </c>
      <c r="AC70" s="95" t="str">
        <f t="shared" si="38"/>
        <v/>
      </c>
      <c r="AD70" s="94">
        <f t="shared" si="39"/>
        <v>0</v>
      </c>
      <c r="AE70" s="94">
        <f t="shared" si="39"/>
        <v>0</v>
      </c>
      <c r="AF70" s="94">
        <f t="shared" si="40"/>
        <v>0</v>
      </c>
      <c r="AG70" s="95" t="str">
        <f t="shared" si="41"/>
        <v/>
      </c>
      <c r="AH70" s="94">
        <f t="shared" si="42"/>
        <v>0</v>
      </c>
      <c r="AI70" s="94">
        <f t="shared" si="42"/>
        <v>0</v>
      </c>
      <c r="AJ70" s="94">
        <f t="shared" si="43"/>
        <v>0</v>
      </c>
      <c r="AK70" s="95" t="str">
        <f t="shared" si="44"/>
        <v/>
      </c>
      <c r="AL70" s="93"/>
      <c r="AM70" s="93"/>
      <c r="AN70" s="94">
        <f t="shared" si="45"/>
        <v>0</v>
      </c>
      <c r="AO70" s="95" t="str">
        <f t="shared" si="46"/>
        <v/>
      </c>
      <c r="AP70" s="94">
        <f t="shared" si="47"/>
        <v>0</v>
      </c>
      <c r="AQ70" s="94">
        <f t="shared" si="47"/>
        <v>250</v>
      </c>
      <c r="AR70" s="94">
        <f t="shared" si="48"/>
        <v>-250</v>
      </c>
      <c r="AS70" s="95">
        <f t="shared" si="49"/>
        <v>0</v>
      </c>
    </row>
    <row r="71" spans="1:45" x14ac:dyDescent="0.35">
      <c r="A71" s="92" t="s">
        <v>371</v>
      </c>
      <c r="B71" s="94">
        <f>1433.7</f>
        <v>1433.7</v>
      </c>
      <c r="C71" s="94">
        <f>833.35</f>
        <v>833.35</v>
      </c>
      <c r="D71" s="94">
        <f t="shared" si="25"/>
        <v>600.35</v>
      </c>
      <c r="E71" s="95">
        <f t="shared" si="26"/>
        <v>1.7204055918881622</v>
      </c>
      <c r="F71" s="93"/>
      <c r="G71" s="93"/>
      <c r="H71" s="94">
        <f t="shared" si="27"/>
        <v>0</v>
      </c>
      <c r="I71" s="95" t="str">
        <f t="shared" si="28"/>
        <v/>
      </c>
      <c r="J71" s="93"/>
      <c r="K71" s="93"/>
      <c r="L71" s="94">
        <f t="shared" si="29"/>
        <v>0</v>
      </c>
      <c r="M71" s="95" t="str">
        <f t="shared" si="30"/>
        <v/>
      </c>
      <c r="N71" s="93"/>
      <c r="O71" s="93"/>
      <c r="P71" s="94">
        <f t="shared" si="31"/>
        <v>0</v>
      </c>
      <c r="Q71" s="95" t="str">
        <f t="shared" si="32"/>
        <v/>
      </c>
      <c r="R71" s="93"/>
      <c r="S71" s="93"/>
      <c r="T71" s="94">
        <f t="shared" si="33"/>
        <v>0</v>
      </c>
      <c r="U71" s="95" t="str">
        <f t="shared" si="34"/>
        <v/>
      </c>
      <c r="V71" s="93"/>
      <c r="W71" s="93"/>
      <c r="X71" s="94">
        <f t="shared" si="35"/>
        <v>0</v>
      </c>
      <c r="Y71" s="95" t="str">
        <f t="shared" si="36"/>
        <v/>
      </c>
      <c r="Z71" s="93"/>
      <c r="AA71" s="93"/>
      <c r="AB71" s="94">
        <f t="shared" si="37"/>
        <v>0</v>
      </c>
      <c r="AC71" s="95" t="str">
        <f t="shared" si="38"/>
        <v/>
      </c>
      <c r="AD71" s="94">
        <f t="shared" si="39"/>
        <v>0</v>
      </c>
      <c r="AE71" s="94">
        <f t="shared" si="39"/>
        <v>0</v>
      </c>
      <c r="AF71" s="94">
        <f t="shared" si="40"/>
        <v>0</v>
      </c>
      <c r="AG71" s="95" t="str">
        <f t="shared" si="41"/>
        <v/>
      </c>
      <c r="AH71" s="94">
        <f t="shared" si="42"/>
        <v>0</v>
      </c>
      <c r="AI71" s="94">
        <f t="shared" si="42"/>
        <v>0</v>
      </c>
      <c r="AJ71" s="94">
        <f t="shared" si="43"/>
        <v>0</v>
      </c>
      <c r="AK71" s="95" t="str">
        <f t="shared" si="44"/>
        <v/>
      </c>
      <c r="AL71" s="93"/>
      <c r="AM71" s="93"/>
      <c r="AN71" s="94">
        <f t="shared" si="45"/>
        <v>0</v>
      </c>
      <c r="AO71" s="95" t="str">
        <f t="shared" si="46"/>
        <v/>
      </c>
      <c r="AP71" s="94">
        <f t="shared" si="47"/>
        <v>1433.7</v>
      </c>
      <c r="AQ71" s="94">
        <f t="shared" si="47"/>
        <v>833.35</v>
      </c>
      <c r="AR71" s="94">
        <f t="shared" si="48"/>
        <v>600.35</v>
      </c>
      <c r="AS71" s="95">
        <f t="shared" si="49"/>
        <v>1.7204055918881622</v>
      </c>
    </row>
    <row r="72" spans="1:45" x14ac:dyDescent="0.35">
      <c r="A72" s="92" t="s">
        <v>372</v>
      </c>
      <c r="B72" s="94">
        <f>227.05</f>
        <v>227.05</v>
      </c>
      <c r="C72" s="94">
        <f>624.95</f>
        <v>624.95000000000005</v>
      </c>
      <c r="D72" s="94">
        <f t="shared" si="25"/>
        <v>-397.90000000000003</v>
      </c>
      <c r="E72" s="95">
        <f t="shared" si="26"/>
        <v>0.36330906472517799</v>
      </c>
      <c r="F72" s="93"/>
      <c r="G72" s="93"/>
      <c r="H72" s="94">
        <f t="shared" si="27"/>
        <v>0</v>
      </c>
      <c r="I72" s="95" t="str">
        <f t="shared" si="28"/>
        <v/>
      </c>
      <c r="J72" s="93"/>
      <c r="K72" s="93"/>
      <c r="L72" s="94">
        <f t="shared" si="29"/>
        <v>0</v>
      </c>
      <c r="M72" s="95" t="str">
        <f t="shared" si="30"/>
        <v/>
      </c>
      <c r="N72" s="93"/>
      <c r="O72" s="93"/>
      <c r="P72" s="94">
        <f t="shared" si="31"/>
        <v>0</v>
      </c>
      <c r="Q72" s="95" t="str">
        <f t="shared" si="32"/>
        <v/>
      </c>
      <c r="R72" s="93"/>
      <c r="S72" s="93"/>
      <c r="T72" s="94">
        <f t="shared" si="33"/>
        <v>0</v>
      </c>
      <c r="U72" s="95" t="str">
        <f t="shared" si="34"/>
        <v/>
      </c>
      <c r="V72" s="93"/>
      <c r="W72" s="93"/>
      <c r="X72" s="94">
        <f t="shared" si="35"/>
        <v>0</v>
      </c>
      <c r="Y72" s="95" t="str">
        <f t="shared" si="36"/>
        <v/>
      </c>
      <c r="Z72" s="93"/>
      <c r="AA72" s="93"/>
      <c r="AB72" s="94">
        <f t="shared" si="37"/>
        <v>0</v>
      </c>
      <c r="AC72" s="95" t="str">
        <f t="shared" si="38"/>
        <v/>
      </c>
      <c r="AD72" s="94">
        <f t="shared" si="39"/>
        <v>0</v>
      </c>
      <c r="AE72" s="94">
        <f t="shared" si="39"/>
        <v>0</v>
      </c>
      <c r="AF72" s="94">
        <f t="shared" si="40"/>
        <v>0</v>
      </c>
      <c r="AG72" s="95" t="str">
        <f t="shared" si="41"/>
        <v/>
      </c>
      <c r="AH72" s="94">
        <f t="shared" si="42"/>
        <v>0</v>
      </c>
      <c r="AI72" s="94">
        <f t="shared" si="42"/>
        <v>0</v>
      </c>
      <c r="AJ72" s="94">
        <f t="shared" si="43"/>
        <v>0</v>
      </c>
      <c r="AK72" s="95" t="str">
        <f t="shared" si="44"/>
        <v/>
      </c>
      <c r="AL72" s="93"/>
      <c r="AM72" s="94">
        <f>100</f>
        <v>100</v>
      </c>
      <c r="AN72" s="94">
        <f t="shared" si="45"/>
        <v>-100</v>
      </c>
      <c r="AO72" s="95">
        <f t="shared" si="46"/>
        <v>0</v>
      </c>
      <c r="AP72" s="94">
        <f t="shared" si="47"/>
        <v>227.05</v>
      </c>
      <c r="AQ72" s="94">
        <f t="shared" si="47"/>
        <v>724.95</v>
      </c>
      <c r="AR72" s="94">
        <f t="shared" si="48"/>
        <v>-497.90000000000003</v>
      </c>
      <c r="AS72" s="95">
        <f t="shared" si="49"/>
        <v>0.31319401338023312</v>
      </c>
    </row>
    <row r="73" spans="1:45" x14ac:dyDescent="0.35">
      <c r="A73" s="92" t="s">
        <v>373</v>
      </c>
      <c r="B73" s="93"/>
      <c r="C73" s="94">
        <f>0</f>
        <v>0</v>
      </c>
      <c r="D73" s="94">
        <f t="shared" si="25"/>
        <v>0</v>
      </c>
      <c r="E73" s="95" t="str">
        <f t="shared" si="26"/>
        <v/>
      </c>
      <c r="F73" s="93"/>
      <c r="G73" s="93"/>
      <c r="H73" s="94">
        <f t="shared" si="27"/>
        <v>0</v>
      </c>
      <c r="I73" s="95" t="str">
        <f t="shared" si="28"/>
        <v/>
      </c>
      <c r="J73" s="93"/>
      <c r="K73" s="93"/>
      <c r="L73" s="94">
        <f t="shared" si="29"/>
        <v>0</v>
      </c>
      <c r="M73" s="95" t="str">
        <f t="shared" si="30"/>
        <v/>
      </c>
      <c r="N73" s="93"/>
      <c r="O73" s="93"/>
      <c r="P73" s="94">
        <f t="shared" si="31"/>
        <v>0</v>
      </c>
      <c r="Q73" s="95" t="str">
        <f t="shared" si="32"/>
        <v/>
      </c>
      <c r="R73" s="93"/>
      <c r="S73" s="93"/>
      <c r="T73" s="94">
        <f t="shared" si="33"/>
        <v>0</v>
      </c>
      <c r="U73" s="95" t="str">
        <f t="shared" si="34"/>
        <v/>
      </c>
      <c r="V73" s="93"/>
      <c r="W73" s="93"/>
      <c r="X73" s="94">
        <f t="shared" si="35"/>
        <v>0</v>
      </c>
      <c r="Y73" s="95" t="str">
        <f t="shared" si="36"/>
        <v/>
      </c>
      <c r="Z73" s="93"/>
      <c r="AA73" s="93"/>
      <c r="AB73" s="94">
        <f t="shared" si="37"/>
        <v>0</v>
      </c>
      <c r="AC73" s="95" t="str">
        <f t="shared" si="38"/>
        <v/>
      </c>
      <c r="AD73" s="94">
        <f t="shared" si="39"/>
        <v>0</v>
      </c>
      <c r="AE73" s="94">
        <f t="shared" si="39"/>
        <v>0</v>
      </c>
      <c r="AF73" s="94">
        <f t="shared" si="40"/>
        <v>0</v>
      </c>
      <c r="AG73" s="95" t="str">
        <f t="shared" si="41"/>
        <v/>
      </c>
      <c r="AH73" s="94">
        <f t="shared" si="42"/>
        <v>0</v>
      </c>
      <c r="AI73" s="94">
        <f t="shared" si="42"/>
        <v>0</v>
      </c>
      <c r="AJ73" s="94">
        <f t="shared" si="43"/>
        <v>0</v>
      </c>
      <c r="AK73" s="95" t="str">
        <f t="shared" si="44"/>
        <v/>
      </c>
      <c r="AL73" s="93"/>
      <c r="AM73" s="93"/>
      <c r="AN73" s="94">
        <f t="shared" si="45"/>
        <v>0</v>
      </c>
      <c r="AO73" s="95" t="str">
        <f t="shared" si="46"/>
        <v/>
      </c>
      <c r="AP73" s="94">
        <f t="shared" si="47"/>
        <v>0</v>
      </c>
      <c r="AQ73" s="94">
        <f t="shared" si="47"/>
        <v>0</v>
      </c>
      <c r="AR73" s="94">
        <f t="shared" si="48"/>
        <v>0</v>
      </c>
      <c r="AS73" s="95" t="str">
        <f t="shared" si="49"/>
        <v/>
      </c>
    </row>
    <row r="74" spans="1:45" x14ac:dyDescent="0.35">
      <c r="A74" s="92" t="s">
        <v>374</v>
      </c>
      <c r="B74" s="94">
        <f>6724</f>
        <v>6724</v>
      </c>
      <c r="C74" s="94">
        <f>6724</f>
        <v>6724</v>
      </c>
      <c r="D74" s="94">
        <f t="shared" si="25"/>
        <v>0</v>
      </c>
      <c r="E74" s="95">
        <f t="shared" si="26"/>
        <v>1</v>
      </c>
      <c r="F74" s="93"/>
      <c r="G74" s="93"/>
      <c r="H74" s="94">
        <f t="shared" si="27"/>
        <v>0</v>
      </c>
      <c r="I74" s="95" t="str">
        <f t="shared" si="28"/>
        <v/>
      </c>
      <c r="J74" s="93"/>
      <c r="K74" s="93"/>
      <c r="L74" s="94">
        <f t="shared" si="29"/>
        <v>0</v>
      </c>
      <c r="M74" s="95" t="str">
        <f t="shared" si="30"/>
        <v/>
      </c>
      <c r="N74" s="93"/>
      <c r="O74" s="93"/>
      <c r="P74" s="94">
        <f t="shared" si="31"/>
        <v>0</v>
      </c>
      <c r="Q74" s="95" t="str">
        <f t="shared" si="32"/>
        <v/>
      </c>
      <c r="R74" s="93"/>
      <c r="S74" s="93"/>
      <c r="T74" s="94">
        <f t="shared" si="33"/>
        <v>0</v>
      </c>
      <c r="U74" s="95" t="str">
        <f t="shared" si="34"/>
        <v/>
      </c>
      <c r="V74" s="93"/>
      <c r="W74" s="93"/>
      <c r="X74" s="94">
        <f t="shared" si="35"/>
        <v>0</v>
      </c>
      <c r="Y74" s="95" t="str">
        <f t="shared" si="36"/>
        <v/>
      </c>
      <c r="Z74" s="93"/>
      <c r="AA74" s="93"/>
      <c r="AB74" s="94">
        <f t="shared" si="37"/>
        <v>0</v>
      </c>
      <c r="AC74" s="95" t="str">
        <f t="shared" si="38"/>
        <v/>
      </c>
      <c r="AD74" s="94">
        <f t="shared" si="39"/>
        <v>0</v>
      </c>
      <c r="AE74" s="94">
        <f t="shared" si="39"/>
        <v>0</v>
      </c>
      <c r="AF74" s="94">
        <f t="shared" si="40"/>
        <v>0</v>
      </c>
      <c r="AG74" s="95" t="str">
        <f t="shared" si="41"/>
        <v/>
      </c>
      <c r="AH74" s="94">
        <f t="shared" si="42"/>
        <v>0</v>
      </c>
      <c r="AI74" s="94">
        <f t="shared" si="42"/>
        <v>0</v>
      </c>
      <c r="AJ74" s="94">
        <f t="shared" si="43"/>
        <v>0</v>
      </c>
      <c r="AK74" s="95" t="str">
        <f t="shared" si="44"/>
        <v/>
      </c>
      <c r="AL74" s="93"/>
      <c r="AM74" s="93"/>
      <c r="AN74" s="94">
        <f t="shared" si="45"/>
        <v>0</v>
      </c>
      <c r="AO74" s="95" t="str">
        <f t="shared" si="46"/>
        <v/>
      </c>
      <c r="AP74" s="94">
        <f t="shared" si="47"/>
        <v>6724</v>
      </c>
      <c r="AQ74" s="94">
        <f t="shared" si="47"/>
        <v>6724</v>
      </c>
      <c r="AR74" s="94">
        <f t="shared" si="48"/>
        <v>0</v>
      </c>
      <c r="AS74" s="95">
        <f t="shared" si="49"/>
        <v>1</v>
      </c>
    </row>
    <row r="75" spans="1:45" x14ac:dyDescent="0.35">
      <c r="A75" s="92" t="s">
        <v>375</v>
      </c>
      <c r="B75" s="94">
        <f>593.71</f>
        <v>593.71</v>
      </c>
      <c r="C75" s="94">
        <f>422.9</f>
        <v>422.9</v>
      </c>
      <c r="D75" s="94">
        <f t="shared" si="25"/>
        <v>170.81000000000006</v>
      </c>
      <c r="E75" s="95">
        <f t="shared" si="26"/>
        <v>1.403901631591393</v>
      </c>
      <c r="F75" s="93"/>
      <c r="G75" s="93"/>
      <c r="H75" s="94">
        <f t="shared" si="27"/>
        <v>0</v>
      </c>
      <c r="I75" s="95" t="str">
        <f t="shared" si="28"/>
        <v/>
      </c>
      <c r="J75" s="93"/>
      <c r="K75" s="93"/>
      <c r="L75" s="94">
        <f t="shared" si="29"/>
        <v>0</v>
      </c>
      <c r="M75" s="95" t="str">
        <f t="shared" si="30"/>
        <v/>
      </c>
      <c r="N75" s="93"/>
      <c r="O75" s="93"/>
      <c r="P75" s="94">
        <f t="shared" si="31"/>
        <v>0</v>
      </c>
      <c r="Q75" s="95" t="str">
        <f t="shared" si="32"/>
        <v/>
      </c>
      <c r="R75" s="93"/>
      <c r="S75" s="93"/>
      <c r="T75" s="94">
        <f t="shared" si="33"/>
        <v>0</v>
      </c>
      <c r="U75" s="95" t="str">
        <f t="shared" si="34"/>
        <v/>
      </c>
      <c r="V75" s="93"/>
      <c r="W75" s="93"/>
      <c r="X75" s="94">
        <f t="shared" si="35"/>
        <v>0</v>
      </c>
      <c r="Y75" s="95" t="str">
        <f t="shared" si="36"/>
        <v/>
      </c>
      <c r="Z75" s="93"/>
      <c r="AA75" s="93"/>
      <c r="AB75" s="94">
        <f t="shared" si="37"/>
        <v>0</v>
      </c>
      <c r="AC75" s="95" t="str">
        <f t="shared" si="38"/>
        <v/>
      </c>
      <c r="AD75" s="94">
        <f t="shared" si="39"/>
        <v>0</v>
      </c>
      <c r="AE75" s="94">
        <f t="shared" si="39"/>
        <v>0</v>
      </c>
      <c r="AF75" s="94">
        <f t="shared" si="40"/>
        <v>0</v>
      </c>
      <c r="AG75" s="95" t="str">
        <f t="shared" si="41"/>
        <v/>
      </c>
      <c r="AH75" s="94">
        <f t="shared" si="42"/>
        <v>0</v>
      </c>
      <c r="AI75" s="94">
        <f t="shared" si="42"/>
        <v>0</v>
      </c>
      <c r="AJ75" s="94">
        <f t="shared" si="43"/>
        <v>0</v>
      </c>
      <c r="AK75" s="95" t="str">
        <f t="shared" si="44"/>
        <v/>
      </c>
      <c r="AL75" s="93"/>
      <c r="AM75" s="93"/>
      <c r="AN75" s="94">
        <f t="shared" si="45"/>
        <v>0</v>
      </c>
      <c r="AO75" s="95" t="str">
        <f t="shared" si="46"/>
        <v/>
      </c>
      <c r="AP75" s="94">
        <f t="shared" si="47"/>
        <v>593.71</v>
      </c>
      <c r="AQ75" s="94">
        <f t="shared" si="47"/>
        <v>422.9</v>
      </c>
      <c r="AR75" s="94">
        <f t="shared" si="48"/>
        <v>170.81000000000006</v>
      </c>
      <c r="AS75" s="95">
        <f t="shared" si="49"/>
        <v>1.403901631591393</v>
      </c>
    </row>
    <row r="76" spans="1:45" x14ac:dyDescent="0.35">
      <c r="A76" s="92" t="s">
        <v>376</v>
      </c>
      <c r="B76" s="94">
        <f>426.64</f>
        <v>426.64</v>
      </c>
      <c r="C76" s="94">
        <f>1743.29</f>
        <v>1743.29</v>
      </c>
      <c r="D76" s="94">
        <f t="shared" si="25"/>
        <v>-1316.65</v>
      </c>
      <c r="E76" s="95">
        <f t="shared" si="26"/>
        <v>0.24473266065886914</v>
      </c>
      <c r="F76" s="93"/>
      <c r="G76" s="93"/>
      <c r="H76" s="94">
        <f t="shared" si="27"/>
        <v>0</v>
      </c>
      <c r="I76" s="95" t="str">
        <f t="shared" si="28"/>
        <v/>
      </c>
      <c r="J76" s="93"/>
      <c r="K76" s="93"/>
      <c r="L76" s="94">
        <f t="shared" si="29"/>
        <v>0</v>
      </c>
      <c r="M76" s="95" t="str">
        <f t="shared" si="30"/>
        <v/>
      </c>
      <c r="N76" s="93"/>
      <c r="O76" s="93"/>
      <c r="P76" s="94">
        <f t="shared" si="31"/>
        <v>0</v>
      </c>
      <c r="Q76" s="95" t="str">
        <f t="shared" si="32"/>
        <v/>
      </c>
      <c r="R76" s="93"/>
      <c r="S76" s="93"/>
      <c r="T76" s="94">
        <f t="shared" si="33"/>
        <v>0</v>
      </c>
      <c r="U76" s="95" t="str">
        <f t="shared" si="34"/>
        <v/>
      </c>
      <c r="V76" s="93"/>
      <c r="W76" s="93"/>
      <c r="X76" s="94">
        <f t="shared" si="35"/>
        <v>0</v>
      </c>
      <c r="Y76" s="95" t="str">
        <f t="shared" si="36"/>
        <v/>
      </c>
      <c r="Z76" s="93"/>
      <c r="AA76" s="93"/>
      <c r="AB76" s="94">
        <f t="shared" si="37"/>
        <v>0</v>
      </c>
      <c r="AC76" s="95" t="str">
        <f t="shared" si="38"/>
        <v/>
      </c>
      <c r="AD76" s="94">
        <f t="shared" si="39"/>
        <v>0</v>
      </c>
      <c r="AE76" s="94">
        <f t="shared" si="39"/>
        <v>0</v>
      </c>
      <c r="AF76" s="94">
        <f t="shared" si="40"/>
        <v>0</v>
      </c>
      <c r="AG76" s="95" t="str">
        <f t="shared" si="41"/>
        <v/>
      </c>
      <c r="AH76" s="94">
        <f t="shared" si="42"/>
        <v>0</v>
      </c>
      <c r="AI76" s="94">
        <f t="shared" si="42"/>
        <v>0</v>
      </c>
      <c r="AJ76" s="94">
        <f t="shared" si="43"/>
        <v>0</v>
      </c>
      <c r="AK76" s="95" t="str">
        <f t="shared" si="44"/>
        <v/>
      </c>
      <c r="AL76" s="93"/>
      <c r="AM76" s="94">
        <f>0</f>
        <v>0</v>
      </c>
      <c r="AN76" s="94">
        <f t="shared" si="45"/>
        <v>0</v>
      </c>
      <c r="AO76" s="95" t="str">
        <f t="shared" si="46"/>
        <v/>
      </c>
      <c r="AP76" s="94">
        <f t="shared" si="47"/>
        <v>426.64</v>
      </c>
      <c r="AQ76" s="94">
        <f t="shared" si="47"/>
        <v>1743.29</v>
      </c>
      <c r="AR76" s="94">
        <f t="shared" si="48"/>
        <v>-1316.65</v>
      </c>
      <c r="AS76" s="95">
        <f t="shared" si="49"/>
        <v>0.24473266065886914</v>
      </c>
    </row>
    <row r="77" spans="1:45" x14ac:dyDescent="0.35">
      <c r="A77" s="92" t="s">
        <v>377</v>
      </c>
      <c r="B77" s="94">
        <f>35.16</f>
        <v>35.159999999999997</v>
      </c>
      <c r="C77" s="94">
        <f>60</f>
        <v>60</v>
      </c>
      <c r="D77" s="94">
        <f t="shared" si="25"/>
        <v>-24.840000000000003</v>
      </c>
      <c r="E77" s="95">
        <f t="shared" si="26"/>
        <v>0.58599999999999997</v>
      </c>
      <c r="F77" s="93"/>
      <c r="G77" s="93"/>
      <c r="H77" s="94">
        <f t="shared" si="27"/>
        <v>0</v>
      </c>
      <c r="I77" s="95" t="str">
        <f t="shared" si="28"/>
        <v/>
      </c>
      <c r="J77" s="93"/>
      <c r="K77" s="93"/>
      <c r="L77" s="94">
        <f t="shared" si="29"/>
        <v>0</v>
      </c>
      <c r="M77" s="95" t="str">
        <f t="shared" si="30"/>
        <v/>
      </c>
      <c r="N77" s="93"/>
      <c r="O77" s="93"/>
      <c r="P77" s="94">
        <f t="shared" si="31"/>
        <v>0</v>
      </c>
      <c r="Q77" s="95" t="str">
        <f t="shared" si="32"/>
        <v/>
      </c>
      <c r="R77" s="93"/>
      <c r="S77" s="93"/>
      <c r="T77" s="94">
        <f t="shared" si="33"/>
        <v>0</v>
      </c>
      <c r="U77" s="95" t="str">
        <f t="shared" si="34"/>
        <v/>
      </c>
      <c r="V77" s="93"/>
      <c r="W77" s="93"/>
      <c r="X77" s="94">
        <f t="shared" si="35"/>
        <v>0</v>
      </c>
      <c r="Y77" s="95" t="str">
        <f t="shared" si="36"/>
        <v/>
      </c>
      <c r="Z77" s="93"/>
      <c r="AA77" s="93"/>
      <c r="AB77" s="94">
        <f t="shared" si="37"/>
        <v>0</v>
      </c>
      <c r="AC77" s="95" t="str">
        <f t="shared" si="38"/>
        <v/>
      </c>
      <c r="AD77" s="94">
        <f t="shared" si="39"/>
        <v>0</v>
      </c>
      <c r="AE77" s="94">
        <f t="shared" si="39"/>
        <v>0</v>
      </c>
      <c r="AF77" s="94">
        <f t="shared" si="40"/>
        <v>0</v>
      </c>
      <c r="AG77" s="95" t="str">
        <f t="shared" si="41"/>
        <v/>
      </c>
      <c r="AH77" s="94">
        <f t="shared" si="42"/>
        <v>0</v>
      </c>
      <c r="AI77" s="94">
        <f t="shared" si="42"/>
        <v>0</v>
      </c>
      <c r="AJ77" s="94">
        <f t="shared" si="43"/>
        <v>0</v>
      </c>
      <c r="AK77" s="95" t="str">
        <f t="shared" si="44"/>
        <v/>
      </c>
      <c r="AL77" s="93"/>
      <c r="AM77" s="94">
        <f>250</f>
        <v>250</v>
      </c>
      <c r="AN77" s="94">
        <f t="shared" si="45"/>
        <v>-250</v>
      </c>
      <c r="AO77" s="95">
        <f t="shared" si="46"/>
        <v>0</v>
      </c>
      <c r="AP77" s="94">
        <f t="shared" si="47"/>
        <v>35.159999999999997</v>
      </c>
      <c r="AQ77" s="94">
        <f t="shared" si="47"/>
        <v>310</v>
      </c>
      <c r="AR77" s="94">
        <f t="shared" si="48"/>
        <v>-274.84000000000003</v>
      </c>
      <c r="AS77" s="95">
        <f t="shared" si="49"/>
        <v>0.11341935483870967</v>
      </c>
    </row>
    <row r="78" spans="1:45" x14ac:dyDescent="0.35">
      <c r="A78" s="92" t="s">
        <v>378</v>
      </c>
      <c r="B78" s="93"/>
      <c r="C78" s="93"/>
      <c r="D78" s="94">
        <f t="shared" si="25"/>
        <v>0</v>
      </c>
      <c r="E78" s="95" t="str">
        <f t="shared" si="26"/>
        <v/>
      </c>
      <c r="F78" s="93"/>
      <c r="G78" s="93"/>
      <c r="H78" s="94">
        <f t="shared" si="27"/>
        <v>0</v>
      </c>
      <c r="I78" s="95" t="str">
        <f t="shared" si="28"/>
        <v/>
      </c>
      <c r="J78" s="93"/>
      <c r="K78" s="93"/>
      <c r="L78" s="94">
        <f t="shared" si="29"/>
        <v>0</v>
      </c>
      <c r="M78" s="95" t="str">
        <f t="shared" si="30"/>
        <v/>
      </c>
      <c r="N78" s="93"/>
      <c r="O78" s="93"/>
      <c r="P78" s="94">
        <f t="shared" si="31"/>
        <v>0</v>
      </c>
      <c r="Q78" s="95" t="str">
        <f t="shared" si="32"/>
        <v/>
      </c>
      <c r="R78" s="93"/>
      <c r="S78" s="93"/>
      <c r="T78" s="94">
        <f t="shared" si="33"/>
        <v>0</v>
      </c>
      <c r="U78" s="95" t="str">
        <f t="shared" si="34"/>
        <v/>
      </c>
      <c r="V78" s="93"/>
      <c r="W78" s="93"/>
      <c r="X78" s="94">
        <f t="shared" si="35"/>
        <v>0</v>
      </c>
      <c r="Y78" s="95" t="str">
        <f t="shared" si="36"/>
        <v/>
      </c>
      <c r="Z78" s="93"/>
      <c r="AA78" s="93"/>
      <c r="AB78" s="94">
        <f t="shared" si="37"/>
        <v>0</v>
      </c>
      <c r="AC78" s="95" t="str">
        <f t="shared" si="38"/>
        <v/>
      </c>
      <c r="AD78" s="94">
        <f t="shared" si="39"/>
        <v>0</v>
      </c>
      <c r="AE78" s="94">
        <f t="shared" si="39"/>
        <v>0</v>
      </c>
      <c r="AF78" s="94">
        <f t="shared" si="40"/>
        <v>0</v>
      </c>
      <c r="AG78" s="95" t="str">
        <f t="shared" si="41"/>
        <v/>
      </c>
      <c r="AH78" s="94">
        <f t="shared" si="42"/>
        <v>0</v>
      </c>
      <c r="AI78" s="94">
        <f t="shared" si="42"/>
        <v>0</v>
      </c>
      <c r="AJ78" s="94">
        <f t="shared" si="43"/>
        <v>0</v>
      </c>
      <c r="AK78" s="95" t="str">
        <f t="shared" si="44"/>
        <v/>
      </c>
      <c r="AL78" s="93"/>
      <c r="AM78" s="94">
        <f>275</f>
        <v>275</v>
      </c>
      <c r="AN78" s="94">
        <f t="shared" si="45"/>
        <v>-275</v>
      </c>
      <c r="AO78" s="95">
        <f t="shared" si="46"/>
        <v>0</v>
      </c>
      <c r="AP78" s="94">
        <f t="shared" si="47"/>
        <v>0</v>
      </c>
      <c r="AQ78" s="94">
        <f t="shared" si="47"/>
        <v>275</v>
      </c>
      <c r="AR78" s="94">
        <f t="shared" si="48"/>
        <v>-275</v>
      </c>
      <c r="AS78" s="95">
        <f t="shared" si="49"/>
        <v>0</v>
      </c>
    </row>
    <row r="79" spans="1:45" x14ac:dyDescent="0.35">
      <c r="A79" s="92" t="s">
        <v>379</v>
      </c>
      <c r="B79" s="94">
        <f>5134.6</f>
        <v>5134.6000000000004</v>
      </c>
      <c r="C79" s="94">
        <f>5333.3</f>
        <v>5333.3</v>
      </c>
      <c r="D79" s="94">
        <f t="shared" si="25"/>
        <v>-198.69999999999982</v>
      </c>
      <c r="E79" s="95">
        <f t="shared" si="26"/>
        <v>0.96274351714698225</v>
      </c>
      <c r="F79" s="93"/>
      <c r="G79" s="93"/>
      <c r="H79" s="94">
        <f t="shared" si="27"/>
        <v>0</v>
      </c>
      <c r="I79" s="95" t="str">
        <f t="shared" si="28"/>
        <v/>
      </c>
      <c r="J79" s="93"/>
      <c r="K79" s="93"/>
      <c r="L79" s="94">
        <f t="shared" si="29"/>
        <v>0</v>
      </c>
      <c r="M79" s="95" t="str">
        <f t="shared" si="30"/>
        <v/>
      </c>
      <c r="N79" s="93"/>
      <c r="O79" s="93"/>
      <c r="P79" s="94">
        <f t="shared" si="31"/>
        <v>0</v>
      </c>
      <c r="Q79" s="95" t="str">
        <f t="shared" si="32"/>
        <v/>
      </c>
      <c r="R79" s="93"/>
      <c r="S79" s="93"/>
      <c r="T79" s="94">
        <f t="shared" si="33"/>
        <v>0</v>
      </c>
      <c r="U79" s="95" t="str">
        <f t="shared" si="34"/>
        <v/>
      </c>
      <c r="V79" s="93"/>
      <c r="W79" s="93"/>
      <c r="X79" s="94">
        <f t="shared" si="35"/>
        <v>0</v>
      </c>
      <c r="Y79" s="95" t="str">
        <f t="shared" si="36"/>
        <v/>
      </c>
      <c r="Z79" s="93"/>
      <c r="AA79" s="93"/>
      <c r="AB79" s="94">
        <f t="shared" si="37"/>
        <v>0</v>
      </c>
      <c r="AC79" s="95" t="str">
        <f t="shared" si="38"/>
        <v/>
      </c>
      <c r="AD79" s="94">
        <f t="shared" si="39"/>
        <v>0</v>
      </c>
      <c r="AE79" s="94">
        <f t="shared" si="39"/>
        <v>0</v>
      </c>
      <c r="AF79" s="94">
        <f t="shared" si="40"/>
        <v>0</v>
      </c>
      <c r="AG79" s="95" t="str">
        <f t="shared" si="41"/>
        <v/>
      </c>
      <c r="AH79" s="94">
        <f t="shared" si="42"/>
        <v>0</v>
      </c>
      <c r="AI79" s="94">
        <f t="shared" si="42"/>
        <v>0</v>
      </c>
      <c r="AJ79" s="94">
        <f t="shared" si="43"/>
        <v>0</v>
      </c>
      <c r="AK79" s="95" t="str">
        <f t="shared" si="44"/>
        <v/>
      </c>
      <c r="AL79" s="93"/>
      <c r="AM79" s="93"/>
      <c r="AN79" s="94">
        <f t="shared" si="45"/>
        <v>0</v>
      </c>
      <c r="AO79" s="95" t="str">
        <f t="shared" si="46"/>
        <v/>
      </c>
      <c r="AP79" s="94">
        <f t="shared" si="47"/>
        <v>5134.6000000000004</v>
      </c>
      <c r="AQ79" s="94">
        <f t="shared" si="47"/>
        <v>5333.3</v>
      </c>
      <c r="AR79" s="94">
        <f t="shared" si="48"/>
        <v>-198.69999999999982</v>
      </c>
      <c r="AS79" s="95">
        <f t="shared" si="49"/>
        <v>0.96274351714698225</v>
      </c>
    </row>
    <row r="80" spans="1:45" x14ac:dyDescent="0.35">
      <c r="A80" s="92" t="s">
        <v>380</v>
      </c>
      <c r="B80" s="96">
        <f>(((((((((((((((B64)+(B65))+(B66))+(B67))+(B68))+(B69))+(B70))+(B71))+(B72))+(B73))+(B74))+(B75))+(B76))+(B77))+(B78))+(B79)</f>
        <v>22092.489999999998</v>
      </c>
      <c r="C80" s="96">
        <f>(((((((((((((((C64)+(C65))+(C66))+(C67))+(C68))+(C69))+(C70))+(C71))+(C72))+(C73))+(C74))+(C75))+(C76))+(C77))+(C78))+(C79)</f>
        <v>23444.739999999998</v>
      </c>
      <c r="D80" s="96">
        <f t="shared" si="25"/>
        <v>-1352.25</v>
      </c>
      <c r="E80" s="97">
        <f t="shared" si="26"/>
        <v>0.94232181717519581</v>
      </c>
      <c r="F80" s="96">
        <f>(((((((((((((((F64)+(F65))+(F66))+(F67))+(F68))+(F69))+(F70))+(F71))+(F72))+(F73))+(F74))+(F75))+(F76))+(F77))+(F78))+(F79)</f>
        <v>0</v>
      </c>
      <c r="G80" s="96">
        <f>(((((((((((((((G64)+(G65))+(G66))+(G67))+(G68))+(G69))+(G70))+(G71))+(G72))+(G73))+(G74))+(G75))+(G76))+(G77))+(G78))+(G79)</f>
        <v>0</v>
      </c>
      <c r="H80" s="96">
        <f t="shared" si="27"/>
        <v>0</v>
      </c>
      <c r="I80" s="97" t="str">
        <f t="shared" si="28"/>
        <v/>
      </c>
      <c r="J80" s="96">
        <f>(((((((((((((((J64)+(J65))+(J66))+(J67))+(J68))+(J69))+(J70))+(J71))+(J72))+(J73))+(J74))+(J75))+(J76))+(J77))+(J78))+(J79)</f>
        <v>0</v>
      </c>
      <c r="K80" s="96">
        <f>(((((((((((((((K64)+(K65))+(K66))+(K67))+(K68))+(K69))+(K70))+(K71))+(K72))+(K73))+(K74))+(K75))+(K76))+(K77))+(K78))+(K79)</f>
        <v>0</v>
      </c>
      <c r="L80" s="96">
        <f t="shared" si="29"/>
        <v>0</v>
      </c>
      <c r="M80" s="97" t="str">
        <f t="shared" si="30"/>
        <v/>
      </c>
      <c r="N80" s="96">
        <f>(((((((((((((((N64)+(N65))+(N66))+(N67))+(N68))+(N69))+(N70))+(N71))+(N72))+(N73))+(N74))+(N75))+(N76))+(N77))+(N78))+(N79)</f>
        <v>0</v>
      </c>
      <c r="O80" s="96">
        <f>(((((((((((((((O64)+(O65))+(O66))+(O67))+(O68))+(O69))+(O70))+(O71))+(O72))+(O73))+(O74))+(O75))+(O76))+(O77))+(O78))+(O79)</f>
        <v>0</v>
      </c>
      <c r="P80" s="96">
        <f t="shared" si="31"/>
        <v>0</v>
      </c>
      <c r="Q80" s="97" t="str">
        <f t="shared" si="32"/>
        <v/>
      </c>
      <c r="R80" s="96">
        <f>(((((((((((((((R64)+(R65))+(R66))+(R67))+(R68))+(R69))+(R70))+(R71))+(R72))+(R73))+(R74))+(R75))+(R76))+(R77))+(R78))+(R79)</f>
        <v>0</v>
      </c>
      <c r="S80" s="96">
        <f>(((((((((((((((S64)+(S65))+(S66))+(S67))+(S68))+(S69))+(S70))+(S71))+(S72))+(S73))+(S74))+(S75))+(S76))+(S77))+(S78))+(S79)</f>
        <v>0</v>
      </c>
      <c r="T80" s="96">
        <f t="shared" si="33"/>
        <v>0</v>
      </c>
      <c r="U80" s="97" t="str">
        <f t="shared" si="34"/>
        <v/>
      </c>
      <c r="V80" s="96">
        <f>(((((((((((((((V64)+(V65))+(V66))+(V67))+(V68))+(V69))+(V70))+(V71))+(V72))+(V73))+(V74))+(V75))+(V76))+(V77))+(V78))+(V79)</f>
        <v>429.36</v>
      </c>
      <c r="W80" s="96">
        <f>(((((((((((((((W64)+(W65))+(W66))+(W67))+(W68))+(W69))+(W70))+(W71))+(W72))+(W73))+(W74))+(W75))+(W76))+(W77))+(W78))+(W79)</f>
        <v>0</v>
      </c>
      <c r="X80" s="96">
        <f t="shared" si="35"/>
        <v>429.36</v>
      </c>
      <c r="Y80" s="97" t="str">
        <f t="shared" si="36"/>
        <v/>
      </c>
      <c r="Z80" s="96">
        <f>(((((((((((((((Z64)+(Z65))+(Z66))+(Z67))+(Z68))+(Z69))+(Z70))+(Z71))+(Z72))+(Z73))+(Z74))+(Z75))+(Z76))+(Z77))+(Z78))+(Z79)</f>
        <v>0</v>
      </c>
      <c r="AA80" s="96">
        <f>(((((((((((((((AA64)+(AA65))+(AA66))+(AA67))+(AA68))+(AA69))+(AA70))+(AA71))+(AA72))+(AA73))+(AA74))+(AA75))+(AA76))+(AA77))+(AA78))+(AA79)</f>
        <v>0</v>
      </c>
      <c r="AB80" s="96">
        <f t="shared" si="37"/>
        <v>0</v>
      </c>
      <c r="AC80" s="97" t="str">
        <f t="shared" si="38"/>
        <v/>
      </c>
      <c r="AD80" s="96">
        <f t="shared" si="39"/>
        <v>429.36</v>
      </c>
      <c r="AE80" s="96">
        <f t="shared" si="39"/>
        <v>0</v>
      </c>
      <c r="AF80" s="96">
        <f t="shared" si="40"/>
        <v>429.36</v>
      </c>
      <c r="AG80" s="97" t="str">
        <f t="shared" si="41"/>
        <v/>
      </c>
      <c r="AH80" s="96">
        <f t="shared" si="42"/>
        <v>429.36</v>
      </c>
      <c r="AI80" s="96">
        <f t="shared" si="42"/>
        <v>0</v>
      </c>
      <c r="AJ80" s="96">
        <f t="shared" si="43"/>
        <v>429.36</v>
      </c>
      <c r="AK80" s="97" t="str">
        <f t="shared" si="44"/>
        <v/>
      </c>
      <c r="AL80" s="96">
        <f>(((((((((((((((AL64)+(AL65))+(AL66))+(AL67))+(AL68))+(AL69))+(AL70))+(AL71))+(AL72))+(AL73))+(AL74))+(AL75))+(AL76))+(AL77))+(AL78))+(AL79)</f>
        <v>0</v>
      </c>
      <c r="AM80" s="96">
        <f>(((((((((((((((AM64)+(AM65))+(AM66))+(AM67))+(AM68))+(AM69))+(AM70))+(AM71))+(AM72))+(AM73))+(AM74))+(AM75))+(AM76))+(AM77))+(AM78))+(AM79)</f>
        <v>625</v>
      </c>
      <c r="AN80" s="96">
        <f t="shared" si="45"/>
        <v>-625</v>
      </c>
      <c r="AO80" s="97">
        <f t="shared" si="46"/>
        <v>0</v>
      </c>
      <c r="AP80" s="96">
        <f t="shared" si="47"/>
        <v>22521.85</v>
      </c>
      <c r="AQ80" s="96">
        <f t="shared" si="47"/>
        <v>24069.739999999998</v>
      </c>
      <c r="AR80" s="96">
        <f t="shared" si="48"/>
        <v>-1547.8899999999994</v>
      </c>
      <c r="AS80" s="97">
        <f t="shared" si="49"/>
        <v>0.93569145325209169</v>
      </c>
    </row>
    <row r="81" spans="1:45" x14ac:dyDescent="0.35">
      <c r="A81" s="92" t="s">
        <v>176</v>
      </c>
      <c r="B81" s="96">
        <f>((((B44)+(B51))+(B58))+(B63))+(B80)</f>
        <v>281695.69</v>
      </c>
      <c r="C81" s="96">
        <f>((((C44)+(C51))+(C58))+(C63))+(C80)</f>
        <v>265044.34000000003</v>
      </c>
      <c r="D81" s="96">
        <f t="shared" si="25"/>
        <v>16651.349999999977</v>
      </c>
      <c r="E81" s="97">
        <f t="shared" si="26"/>
        <v>1.0628247711307472</v>
      </c>
      <c r="F81" s="96">
        <f>((((F44)+(F51))+(F58))+(F63))+(F80)</f>
        <v>0</v>
      </c>
      <c r="G81" s="96">
        <f>((((G44)+(G51))+(G58))+(G63))+(G80)</f>
        <v>12845</v>
      </c>
      <c r="H81" s="96">
        <f t="shared" si="27"/>
        <v>-12845</v>
      </c>
      <c r="I81" s="97">
        <f t="shared" si="28"/>
        <v>0</v>
      </c>
      <c r="J81" s="96">
        <f>((((J44)+(J51))+(J58))+(J63))+(J80)</f>
        <v>714.01</v>
      </c>
      <c r="K81" s="96">
        <f>((((K44)+(K51))+(K58))+(K63))+(K80)</f>
        <v>0</v>
      </c>
      <c r="L81" s="96">
        <f t="shared" si="29"/>
        <v>714.01</v>
      </c>
      <c r="M81" s="97" t="str">
        <f t="shared" si="30"/>
        <v/>
      </c>
      <c r="N81" s="96">
        <f>((((N44)+(N51))+(N58))+(N63))+(N80)</f>
        <v>0</v>
      </c>
      <c r="O81" s="96">
        <f>((((O44)+(O51))+(O58))+(O63))+(O80)</f>
        <v>0</v>
      </c>
      <c r="P81" s="96">
        <f t="shared" si="31"/>
        <v>0</v>
      </c>
      <c r="Q81" s="97" t="str">
        <f t="shared" si="32"/>
        <v/>
      </c>
      <c r="R81" s="96">
        <f>((((R44)+(R51))+(R58))+(R63))+(R80)</f>
        <v>6750</v>
      </c>
      <c r="S81" s="96">
        <f>((((S44)+(S51))+(S58))+(S63))+(S80)</f>
        <v>0</v>
      </c>
      <c r="T81" s="96">
        <f t="shared" si="33"/>
        <v>6750</v>
      </c>
      <c r="U81" s="97" t="str">
        <f t="shared" si="34"/>
        <v/>
      </c>
      <c r="V81" s="96">
        <f>((((V44)+(V51))+(V58))+(V63))+(V80)</f>
        <v>3767.1200000000003</v>
      </c>
      <c r="W81" s="96">
        <f>((((W44)+(W51))+(W58))+(W63))+(W80)</f>
        <v>0</v>
      </c>
      <c r="X81" s="96">
        <f t="shared" si="35"/>
        <v>3767.1200000000003</v>
      </c>
      <c r="Y81" s="97" t="str">
        <f t="shared" si="36"/>
        <v/>
      </c>
      <c r="Z81" s="96">
        <f>((((Z44)+(Z51))+(Z58))+(Z63))+(Z80)</f>
        <v>3436.5</v>
      </c>
      <c r="AA81" s="96">
        <f>((((AA44)+(AA51))+(AA58))+(AA63))+(AA80)</f>
        <v>0</v>
      </c>
      <c r="AB81" s="96">
        <f t="shared" si="37"/>
        <v>3436.5</v>
      </c>
      <c r="AC81" s="97" t="str">
        <f t="shared" si="38"/>
        <v/>
      </c>
      <c r="AD81" s="96">
        <f t="shared" si="39"/>
        <v>7203.6200000000008</v>
      </c>
      <c r="AE81" s="96">
        <f t="shared" si="39"/>
        <v>0</v>
      </c>
      <c r="AF81" s="96">
        <f t="shared" si="40"/>
        <v>7203.6200000000008</v>
      </c>
      <c r="AG81" s="97" t="str">
        <f t="shared" si="41"/>
        <v/>
      </c>
      <c r="AH81" s="96">
        <f t="shared" si="42"/>
        <v>14667.630000000001</v>
      </c>
      <c r="AI81" s="96">
        <f t="shared" si="42"/>
        <v>12845</v>
      </c>
      <c r="AJ81" s="96">
        <f t="shared" si="43"/>
        <v>1822.630000000001</v>
      </c>
      <c r="AK81" s="97">
        <f t="shared" si="44"/>
        <v>1.1418941222265473</v>
      </c>
      <c r="AL81" s="96">
        <f>((((AL44)+(AL51))+(AL58))+(AL63))+(AL80)</f>
        <v>0</v>
      </c>
      <c r="AM81" s="96">
        <f>((((AM44)+(AM51))+(AM58))+(AM63))+(AM80)</f>
        <v>625</v>
      </c>
      <c r="AN81" s="96">
        <f t="shared" si="45"/>
        <v>-625</v>
      </c>
      <c r="AO81" s="97">
        <f t="shared" si="46"/>
        <v>0</v>
      </c>
      <c r="AP81" s="96">
        <f t="shared" si="47"/>
        <v>296363.32</v>
      </c>
      <c r="AQ81" s="96">
        <f t="shared" si="47"/>
        <v>278514.34000000003</v>
      </c>
      <c r="AR81" s="96">
        <f t="shared" si="48"/>
        <v>17848.979999999981</v>
      </c>
      <c r="AS81" s="97">
        <f t="shared" si="49"/>
        <v>1.0640863949770054</v>
      </c>
    </row>
    <row r="82" spans="1:45" x14ac:dyDescent="0.35">
      <c r="A82" s="92" t="s">
        <v>177</v>
      </c>
      <c r="B82" s="96">
        <f>(B38)-(B81)</f>
        <v>-280655.02</v>
      </c>
      <c r="C82" s="96">
        <f>(C38)-(C81)</f>
        <v>-263627.69</v>
      </c>
      <c r="D82" s="96">
        <f t="shared" si="25"/>
        <v>-17027.330000000016</v>
      </c>
      <c r="E82" s="97">
        <f t="shared" si="26"/>
        <v>1.0645885491011966</v>
      </c>
      <c r="F82" s="96">
        <f>(F38)-(F81)</f>
        <v>0</v>
      </c>
      <c r="G82" s="96">
        <f>(G38)-(G81)</f>
        <v>3330.2999999999993</v>
      </c>
      <c r="H82" s="96">
        <f t="shared" si="27"/>
        <v>-3330.2999999999993</v>
      </c>
      <c r="I82" s="97">
        <f t="shared" si="28"/>
        <v>0</v>
      </c>
      <c r="J82" s="96">
        <f>(J38)-(J81)</f>
        <v>-689.01</v>
      </c>
      <c r="K82" s="96">
        <f>(K38)-(K81)</f>
        <v>0</v>
      </c>
      <c r="L82" s="96">
        <f t="shared" si="29"/>
        <v>-689.01</v>
      </c>
      <c r="M82" s="97" t="str">
        <f t="shared" si="30"/>
        <v/>
      </c>
      <c r="N82" s="96">
        <f>(N38)-(N81)</f>
        <v>3789</v>
      </c>
      <c r="O82" s="96">
        <f>(O38)-(O81)</f>
        <v>0</v>
      </c>
      <c r="P82" s="96">
        <f t="shared" si="31"/>
        <v>3789</v>
      </c>
      <c r="Q82" s="97" t="str">
        <f t="shared" si="32"/>
        <v/>
      </c>
      <c r="R82" s="96">
        <f>(R38)-(R81)</f>
        <v>-6750</v>
      </c>
      <c r="S82" s="96">
        <f>(S38)-(S81)</f>
        <v>0</v>
      </c>
      <c r="T82" s="96">
        <f t="shared" si="33"/>
        <v>-6750</v>
      </c>
      <c r="U82" s="97" t="str">
        <f t="shared" si="34"/>
        <v/>
      </c>
      <c r="V82" s="96">
        <f>(V38)-(V81)</f>
        <v>10914.88</v>
      </c>
      <c r="W82" s="96">
        <f>(W38)-(W81)</f>
        <v>0</v>
      </c>
      <c r="X82" s="96">
        <f t="shared" si="35"/>
        <v>10914.88</v>
      </c>
      <c r="Y82" s="97" t="str">
        <f t="shared" si="36"/>
        <v/>
      </c>
      <c r="Z82" s="96">
        <f>(Z38)-(Z81)</f>
        <v>-3436.5</v>
      </c>
      <c r="AA82" s="96">
        <f>(AA38)-(AA81)</f>
        <v>0</v>
      </c>
      <c r="AB82" s="96">
        <f t="shared" si="37"/>
        <v>-3436.5</v>
      </c>
      <c r="AC82" s="97" t="str">
        <f t="shared" si="38"/>
        <v/>
      </c>
      <c r="AD82" s="96">
        <f t="shared" si="39"/>
        <v>7478.3799999999992</v>
      </c>
      <c r="AE82" s="96">
        <f t="shared" si="39"/>
        <v>0</v>
      </c>
      <c r="AF82" s="96">
        <f t="shared" si="40"/>
        <v>7478.3799999999992</v>
      </c>
      <c r="AG82" s="97" t="str">
        <f t="shared" si="41"/>
        <v/>
      </c>
      <c r="AH82" s="96">
        <f t="shared" si="42"/>
        <v>3828.369999999999</v>
      </c>
      <c r="AI82" s="96">
        <f t="shared" si="42"/>
        <v>3330.2999999999993</v>
      </c>
      <c r="AJ82" s="96">
        <f t="shared" si="43"/>
        <v>498.06999999999971</v>
      </c>
      <c r="AK82" s="97">
        <f t="shared" si="44"/>
        <v>1.1495570969582318</v>
      </c>
      <c r="AL82" s="96">
        <f>(AL38)-(AL81)</f>
        <v>226206.37000000002</v>
      </c>
      <c r="AM82" s="96">
        <f>(AM38)-(AM81)</f>
        <v>213326.69999999998</v>
      </c>
      <c r="AN82" s="96">
        <f t="shared" si="45"/>
        <v>12879.670000000042</v>
      </c>
      <c r="AO82" s="97">
        <f t="shared" si="46"/>
        <v>1.0603753304204304</v>
      </c>
      <c r="AP82" s="96">
        <f t="shared" si="47"/>
        <v>-50620.28</v>
      </c>
      <c r="AQ82" s="96">
        <f t="shared" si="47"/>
        <v>-46970.690000000031</v>
      </c>
      <c r="AR82" s="96">
        <f t="shared" si="48"/>
        <v>-3649.5899999999674</v>
      </c>
      <c r="AS82" s="97">
        <f t="shared" si="49"/>
        <v>1.0776993056733883</v>
      </c>
    </row>
    <row r="83" spans="1:45" x14ac:dyDescent="0.35">
      <c r="A83" s="92" t="s">
        <v>178</v>
      </c>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row>
    <row r="84" spans="1:45" x14ac:dyDescent="0.35">
      <c r="A84" s="92" t="s">
        <v>381</v>
      </c>
      <c r="B84" s="94">
        <f>0</f>
        <v>0</v>
      </c>
      <c r="C84" s="93"/>
      <c r="D84" s="94">
        <f>(B84)-(C84)</f>
        <v>0</v>
      </c>
      <c r="E84" s="95" t="str">
        <f>IF(C84=0,"",(B84)/(C84))</f>
        <v/>
      </c>
      <c r="F84" s="93"/>
      <c r="G84" s="93"/>
      <c r="H84" s="94">
        <f>(F84)-(G84)</f>
        <v>0</v>
      </c>
      <c r="I84" s="95" t="str">
        <f>IF(G84=0,"",(F84)/(G84))</f>
        <v/>
      </c>
      <c r="J84" s="93"/>
      <c r="K84" s="93"/>
      <c r="L84" s="94">
        <f>(J84)-(K84)</f>
        <v>0</v>
      </c>
      <c r="M84" s="95" t="str">
        <f>IF(K84=0,"",(J84)/(K84))</f>
        <v/>
      </c>
      <c r="N84" s="93"/>
      <c r="O84" s="93"/>
      <c r="P84" s="94">
        <f>(N84)-(O84)</f>
        <v>0</v>
      </c>
      <c r="Q84" s="95" t="str">
        <f>IF(O84=0,"",(N84)/(O84))</f>
        <v/>
      </c>
      <c r="R84" s="93"/>
      <c r="S84" s="93"/>
      <c r="T84" s="94">
        <f>(R84)-(S84)</f>
        <v>0</v>
      </c>
      <c r="U84" s="95" t="str">
        <f>IF(S84=0,"",(R84)/(S84))</f>
        <v/>
      </c>
      <c r="V84" s="93"/>
      <c r="W84" s="93"/>
      <c r="X84" s="94">
        <f>(V84)-(W84)</f>
        <v>0</v>
      </c>
      <c r="Y84" s="95" t="str">
        <f>IF(W84=0,"",(V84)/(W84))</f>
        <v/>
      </c>
      <c r="Z84" s="93"/>
      <c r="AA84" s="93"/>
      <c r="AB84" s="94">
        <f>(Z84)-(AA84)</f>
        <v>0</v>
      </c>
      <c r="AC84" s="95" t="str">
        <f>IF(AA84=0,"",(Z84)/(AA84))</f>
        <v/>
      </c>
      <c r="AD84" s="94">
        <f t="shared" ref="AD84:AE88" si="50">(V84)+(Z84)</f>
        <v>0</v>
      </c>
      <c r="AE84" s="94">
        <f t="shared" si="50"/>
        <v>0</v>
      </c>
      <c r="AF84" s="94">
        <f>(AD84)-(AE84)</f>
        <v>0</v>
      </c>
      <c r="AG84" s="95" t="str">
        <f>IF(AE84=0,"",(AD84)/(AE84))</f>
        <v/>
      </c>
      <c r="AH84" s="94">
        <f t="shared" ref="AH84:AI88" si="51">((((F84)+(J84))+(N84))+(R84))+(AD84)</f>
        <v>0</v>
      </c>
      <c r="AI84" s="94">
        <f t="shared" si="51"/>
        <v>0</v>
      </c>
      <c r="AJ84" s="94">
        <f>(AH84)-(AI84)</f>
        <v>0</v>
      </c>
      <c r="AK84" s="95" t="str">
        <f>IF(AI84=0,"",(AH84)/(AI84))</f>
        <v/>
      </c>
      <c r="AL84" s="93"/>
      <c r="AM84" s="93"/>
      <c r="AN84" s="94">
        <f>(AL84)-(AM84)</f>
        <v>0</v>
      </c>
      <c r="AO84" s="95" t="str">
        <f>IF(AM84=0,"",(AL84)/(AM84))</f>
        <v/>
      </c>
      <c r="AP84" s="94">
        <f t="shared" ref="AP84:AQ88" si="52">((B84)+(AH84))+(AL84)</f>
        <v>0</v>
      </c>
      <c r="AQ84" s="94">
        <f t="shared" si="52"/>
        <v>0</v>
      </c>
      <c r="AR84" s="94">
        <f>(AP84)-(AQ84)</f>
        <v>0</v>
      </c>
      <c r="AS84" s="95" t="str">
        <f>IF(AQ84=0,"",(AP84)/(AQ84))</f>
        <v/>
      </c>
    </row>
    <row r="85" spans="1:45" x14ac:dyDescent="0.35">
      <c r="A85" s="92" t="s">
        <v>382</v>
      </c>
      <c r="B85" s="94">
        <f>4555.88</f>
        <v>4555.88</v>
      </c>
      <c r="C85" s="93"/>
      <c r="D85" s="94">
        <f>(B85)-(C85)</f>
        <v>4555.88</v>
      </c>
      <c r="E85" s="95" t="str">
        <f>IF(C85=0,"",(B85)/(C85))</f>
        <v/>
      </c>
      <c r="F85" s="93"/>
      <c r="G85" s="93"/>
      <c r="H85" s="94">
        <f>(F85)-(G85)</f>
        <v>0</v>
      </c>
      <c r="I85" s="95" t="str">
        <f>IF(G85=0,"",(F85)/(G85))</f>
        <v/>
      </c>
      <c r="J85" s="93"/>
      <c r="K85" s="93"/>
      <c r="L85" s="94">
        <f>(J85)-(K85)</f>
        <v>0</v>
      </c>
      <c r="M85" s="95" t="str">
        <f>IF(K85=0,"",(J85)/(K85))</f>
        <v/>
      </c>
      <c r="N85" s="93"/>
      <c r="O85" s="93"/>
      <c r="P85" s="94">
        <f>(N85)-(O85)</f>
        <v>0</v>
      </c>
      <c r="Q85" s="95" t="str">
        <f>IF(O85=0,"",(N85)/(O85))</f>
        <v/>
      </c>
      <c r="R85" s="93"/>
      <c r="S85" s="93"/>
      <c r="T85" s="94">
        <f>(R85)-(S85)</f>
        <v>0</v>
      </c>
      <c r="U85" s="95" t="str">
        <f>IF(S85=0,"",(R85)/(S85))</f>
        <v/>
      </c>
      <c r="V85" s="93"/>
      <c r="W85" s="93"/>
      <c r="X85" s="94">
        <f>(V85)-(W85)</f>
        <v>0</v>
      </c>
      <c r="Y85" s="95" t="str">
        <f>IF(W85=0,"",(V85)/(W85))</f>
        <v/>
      </c>
      <c r="Z85" s="93"/>
      <c r="AA85" s="93"/>
      <c r="AB85" s="94">
        <f>(Z85)-(AA85)</f>
        <v>0</v>
      </c>
      <c r="AC85" s="95" t="str">
        <f>IF(AA85=0,"",(Z85)/(AA85))</f>
        <v/>
      </c>
      <c r="AD85" s="94">
        <f t="shared" si="50"/>
        <v>0</v>
      </c>
      <c r="AE85" s="94">
        <f t="shared" si="50"/>
        <v>0</v>
      </c>
      <c r="AF85" s="94">
        <f>(AD85)-(AE85)</f>
        <v>0</v>
      </c>
      <c r="AG85" s="95" t="str">
        <f>IF(AE85=0,"",(AD85)/(AE85))</f>
        <v/>
      </c>
      <c r="AH85" s="94">
        <f t="shared" si="51"/>
        <v>0</v>
      </c>
      <c r="AI85" s="94">
        <f t="shared" si="51"/>
        <v>0</v>
      </c>
      <c r="AJ85" s="94">
        <f>(AH85)-(AI85)</f>
        <v>0</v>
      </c>
      <c r="AK85" s="95" t="str">
        <f>IF(AI85=0,"",(AH85)/(AI85))</f>
        <v/>
      </c>
      <c r="AL85" s="93"/>
      <c r="AM85" s="93"/>
      <c r="AN85" s="94">
        <f>(AL85)-(AM85)</f>
        <v>0</v>
      </c>
      <c r="AO85" s="95" t="str">
        <f>IF(AM85=0,"",(AL85)/(AM85))</f>
        <v/>
      </c>
      <c r="AP85" s="94">
        <f t="shared" si="52"/>
        <v>4555.88</v>
      </c>
      <c r="AQ85" s="94">
        <f t="shared" si="52"/>
        <v>0</v>
      </c>
      <c r="AR85" s="94">
        <f>(AP85)-(AQ85)</f>
        <v>4555.88</v>
      </c>
      <c r="AS85" s="95" t="str">
        <f>IF(AQ85=0,"",(AP85)/(AQ85))</f>
        <v/>
      </c>
    </row>
    <row r="86" spans="1:45" x14ac:dyDescent="0.35">
      <c r="A86" s="92" t="s">
        <v>383</v>
      </c>
      <c r="B86" s="94">
        <f>30935.73</f>
        <v>30935.73</v>
      </c>
      <c r="C86" s="93"/>
      <c r="D86" s="94">
        <f>(B86)-(C86)</f>
        <v>30935.73</v>
      </c>
      <c r="E86" s="95" t="str">
        <f>IF(C86=0,"",(B86)/(C86))</f>
        <v/>
      </c>
      <c r="F86" s="93"/>
      <c r="G86" s="93"/>
      <c r="H86" s="94">
        <f>(F86)-(G86)</f>
        <v>0</v>
      </c>
      <c r="I86" s="95" t="str">
        <f>IF(G86=0,"",(F86)/(G86))</f>
        <v/>
      </c>
      <c r="J86" s="93"/>
      <c r="K86" s="93"/>
      <c r="L86" s="94">
        <f>(J86)-(K86)</f>
        <v>0</v>
      </c>
      <c r="M86" s="95" t="str">
        <f>IF(K86=0,"",(J86)/(K86))</f>
        <v/>
      </c>
      <c r="N86" s="93"/>
      <c r="O86" s="93"/>
      <c r="P86" s="94">
        <f>(N86)-(O86)</f>
        <v>0</v>
      </c>
      <c r="Q86" s="95" t="str">
        <f>IF(O86=0,"",(N86)/(O86))</f>
        <v/>
      </c>
      <c r="R86" s="93"/>
      <c r="S86" s="93"/>
      <c r="T86" s="94">
        <f>(R86)-(S86)</f>
        <v>0</v>
      </c>
      <c r="U86" s="95" t="str">
        <f>IF(S86=0,"",(R86)/(S86))</f>
        <v/>
      </c>
      <c r="V86" s="93"/>
      <c r="W86" s="93"/>
      <c r="X86" s="94">
        <f>(V86)-(W86)</f>
        <v>0</v>
      </c>
      <c r="Y86" s="95" t="str">
        <f>IF(W86=0,"",(V86)/(W86))</f>
        <v/>
      </c>
      <c r="Z86" s="93"/>
      <c r="AA86" s="93"/>
      <c r="AB86" s="94">
        <f>(Z86)-(AA86)</f>
        <v>0</v>
      </c>
      <c r="AC86" s="95" t="str">
        <f>IF(AA86=0,"",(Z86)/(AA86))</f>
        <v/>
      </c>
      <c r="AD86" s="94">
        <f t="shared" si="50"/>
        <v>0</v>
      </c>
      <c r="AE86" s="94">
        <f t="shared" si="50"/>
        <v>0</v>
      </c>
      <c r="AF86" s="94">
        <f>(AD86)-(AE86)</f>
        <v>0</v>
      </c>
      <c r="AG86" s="95" t="str">
        <f>IF(AE86=0,"",(AD86)/(AE86))</f>
        <v/>
      </c>
      <c r="AH86" s="94">
        <f t="shared" si="51"/>
        <v>0</v>
      </c>
      <c r="AI86" s="94">
        <f t="shared" si="51"/>
        <v>0</v>
      </c>
      <c r="AJ86" s="94">
        <f>(AH86)-(AI86)</f>
        <v>0</v>
      </c>
      <c r="AK86" s="95" t="str">
        <f>IF(AI86=0,"",(AH86)/(AI86))</f>
        <v/>
      </c>
      <c r="AL86" s="93"/>
      <c r="AM86" s="93"/>
      <c r="AN86" s="94">
        <f>(AL86)-(AM86)</f>
        <v>0</v>
      </c>
      <c r="AO86" s="95" t="str">
        <f>IF(AM86=0,"",(AL86)/(AM86))</f>
        <v/>
      </c>
      <c r="AP86" s="94">
        <f t="shared" si="52"/>
        <v>30935.73</v>
      </c>
      <c r="AQ86" s="94">
        <f t="shared" si="52"/>
        <v>0</v>
      </c>
      <c r="AR86" s="94">
        <f>(AP86)-(AQ86)</f>
        <v>30935.73</v>
      </c>
      <c r="AS86" s="95" t="str">
        <f>IF(AQ86=0,"",(AP86)/(AQ86))</f>
        <v/>
      </c>
    </row>
    <row r="87" spans="1:45" x14ac:dyDescent="0.35">
      <c r="A87" s="92" t="s">
        <v>384</v>
      </c>
      <c r="B87" s="93"/>
      <c r="C87" s="94">
        <f>9375</f>
        <v>9375</v>
      </c>
      <c r="D87" s="94">
        <f>(B87)-(C87)</f>
        <v>-9375</v>
      </c>
      <c r="E87" s="95">
        <f>IF(C87=0,"",(B87)/(C87))</f>
        <v>0</v>
      </c>
      <c r="F87" s="93"/>
      <c r="G87" s="93"/>
      <c r="H87" s="94">
        <f>(F87)-(G87)</f>
        <v>0</v>
      </c>
      <c r="I87" s="95" t="str">
        <f>IF(G87=0,"",(F87)/(G87))</f>
        <v/>
      </c>
      <c r="J87" s="93"/>
      <c r="K87" s="93"/>
      <c r="L87" s="94">
        <f>(J87)-(K87)</f>
        <v>0</v>
      </c>
      <c r="M87" s="95" t="str">
        <f>IF(K87=0,"",(J87)/(K87))</f>
        <v/>
      </c>
      <c r="N87" s="93"/>
      <c r="O87" s="93"/>
      <c r="P87" s="94">
        <f>(N87)-(O87)</f>
        <v>0</v>
      </c>
      <c r="Q87" s="95" t="str">
        <f>IF(O87=0,"",(N87)/(O87))</f>
        <v/>
      </c>
      <c r="R87" s="93"/>
      <c r="S87" s="93"/>
      <c r="T87" s="94">
        <f>(R87)-(S87)</f>
        <v>0</v>
      </c>
      <c r="U87" s="95" t="str">
        <f>IF(S87=0,"",(R87)/(S87))</f>
        <v/>
      </c>
      <c r="V87" s="93"/>
      <c r="W87" s="93"/>
      <c r="X87" s="94">
        <f>(V87)-(W87)</f>
        <v>0</v>
      </c>
      <c r="Y87" s="95" t="str">
        <f>IF(W87=0,"",(V87)/(W87))</f>
        <v/>
      </c>
      <c r="Z87" s="93"/>
      <c r="AA87" s="93"/>
      <c r="AB87" s="94">
        <f>(Z87)-(AA87)</f>
        <v>0</v>
      </c>
      <c r="AC87" s="95" t="str">
        <f>IF(AA87=0,"",(Z87)/(AA87))</f>
        <v/>
      </c>
      <c r="AD87" s="94">
        <f t="shared" si="50"/>
        <v>0</v>
      </c>
      <c r="AE87" s="94">
        <f t="shared" si="50"/>
        <v>0</v>
      </c>
      <c r="AF87" s="94">
        <f>(AD87)-(AE87)</f>
        <v>0</v>
      </c>
      <c r="AG87" s="95" t="str">
        <f>IF(AE87=0,"",(AD87)/(AE87))</f>
        <v/>
      </c>
      <c r="AH87" s="94">
        <f t="shared" si="51"/>
        <v>0</v>
      </c>
      <c r="AI87" s="94">
        <f t="shared" si="51"/>
        <v>0</v>
      </c>
      <c r="AJ87" s="94">
        <f>(AH87)-(AI87)</f>
        <v>0</v>
      </c>
      <c r="AK87" s="95" t="str">
        <f>IF(AI87=0,"",(AH87)/(AI87))</f>
        <v/>
      </c>
      <c r="AL87" s="93"/>
      <c r="AM87" s="93"/>
      <c r="AN87" s="94">
        <f>(AL87)-(AM87)</f>
        <v>0</v>
      </c>
      <c r="AO87" s="95" t="str">
        <f>IF(AM87=0,"",(AL87)/(AM87))</f>
        <v/>
      </c>
      <c r="AP87" s="94">
        <f t="shared" si="52"/>
        <v>0</v>
      </c>
      <c r="AQ87" s="94">
        <f t="shared" si="52"/>
        <v>9375</v>
      </c>
      <c r="AR87" s="94">
        <f>(AP87)-(AQ87)</f>
        <v>-9375</v>
      </c>
      <c r="AS87" s="95">
        <f>IF(AQ87=0,"",(AP87)/(AQ87))</f>
        <v>0</v>
      </c>
    </row>
    <row r="88" spans="1:45" x14ac:dyDescent="0.35">
      <c r="A88" s="92" t="s">
        <v>180</v>
      </c>
      <c r="B88" s="96">
        <f>(((B84)+(B85))+(B86))+(B87)</f>
        <v>35491.61</v>
      </c>
      <c r="C88" s="96">
        <f>(((C84)+(C85))+(C86))+(C87)</f>
        <v>9375</v>
      </c>
      <c r="D88" s="96">
        <f>(B88)-(C88)</f>
        <v>26116.61</v>
      </c>
      <c r="E88" s="97">
        <f>IF(C88=0,"",(B88)/(C88))</f>
        <v>3.7857717333333336</v>
      </c>
      <c r="F88" s="96">
        <f>(((F84)+(F85))+(F86))+(F87)</f>
        <v>0</v>
      </c>
      <c r="G88" s="96">
        <f>(((G84)+(G85))+(G86))+(G87)</f>
        <v>0</v>
      </c>
      <c r="H88" s="96">
        <f>(F88)-(G88)</f>
        <v>0</v>
      </c>
      <c r="I88" s="97" t="str">
        <f>IF(G88=0,"",(F88)/(G88))</f>
        <v/>
      </c>
      <c r="J88" s="96">
        <f>(((J84)+(J85))+(J86))+(J87)</f>
        <v>0</v>
      </c>
      <c r="K88" s="96">
        <f>(((K84)+(K85))+(K86))+(K87)</f>
        <v>0</v>
      </c>
      <c r="L88" s="96">
        <f>(J88)-(K88)</f>
        <v>0</v>
      </c>
      <c r="M88" s="97" t="str">
        <f>IF(K88=0,"",(J88)/(K88))</f>
        <v/>
      </c>
      <c r="N88" s="96">
        <f>(((N84)+(N85))+(N86))+(N87)</f>
        <v>0</v>
      </c>
      <c r="O88" s="96">
        <f>(((O84)+(O85))+(O86))+(O87)</f>
        <v>0</v>
      </c>
      <c r="P88" s="96">
        <f>(N88)-(O88)</f>
        <v>0</v>
      </c>
      <c r="Q88" s="97" t="str">
        <f>IF(O88=0,"",(N88)/(O88))</f>
        <v/>
      </c>
      <c r="R88" s="96">
        <f>(((R84)+(R85))+(R86))+(R87)</f>
        <v>0</v>
      </c>
      <c r="S88" s="96">
        <f>(((S84)+(S85))+(S86))+(S87)</f>
        <v>0</v>
      </c>
      <c r="T88" s="96">
        <f>(R88)-(S88)</f>
        <v>0</v>
      </c>
      <c r="U88" s="97" t="str">
        <f>IF(S88=0,"",(R88)/(S88))</f>
        <v/>
      </c>
      <c r="V88" s="96">
        <f>(((V84)+(V85))+(V86))+(V87)</f>
        <v>0</v>
      </c>
      <c r="W88" s="96">
        <f>(((W84)+(W85))+(W86))+(W87)</f>
        <v>0</v>
      </c>
      <c r="X88" s="96">
        <f>(V88)-(W88)</f>
        <v>0</v>
      </c>
      <c r="Y88" s="97" t="str">
        <f>IF(W88=0,"",(V88)/(W88))</f>
        <v/>
      </c>
      <c r="Z88" s="96">
        <f>(((Z84)+(Z85))+(Z86))+(Z87)</f>
        <v>0</v>
      </c>
      <c r="AA88" s="96">
        <f>(((AA84)+(AA85))+(AA86))+(AA87)</f>
        <v>0</v>
      </c>
      <c r="AB88" s="96">
        <f>(Z88)-(AA88)</f>
        <v>0</v>
      </c>
      <c r="AC88" s="97" t="str">
        <f>IF(AA88=0,"",(Z88)/(AA88))</f>
        <v/>
      </c>
      <c r="AD88" s="96">
        <f t="shared" si="50"/>
        <v>0</v>
      </c>
      <c r="AE88" s="96">
        <f t="shared" si="50"/>
        <v>0</v>
      </c>
      <c r="AF88" s="96">
        <f>(AD88)-(AE88)</f>
        <v>0</v>
      </c>
      <c r="AG88" s="97" t="str">
        <f>IF(AE88=0,"",(AD88)/(AE88))</f>
        <v/>
      </c>
      <c r="AH88" s="96">
        <f t="shared" si="51"/>
        <v>0</v>
      </c>
      <c r="AI88" s="96">
        <f t="shared" si="51"/>
        <v>0</v>
      </c>
      <c r="AJ88" s="96">
        <f>(AH88)-(AI88)</f>
        <v>0</v>
      </c>
      <c r="AK88" s="97" t="str">
        <f>IF(AI88=0,"",(AH88)/(AI88))</f>
        <v/>
      </c>
      <c r="AL88" s="96">
        <f>(((AL84)+(AL85))+(AL86))+(AL87)</f>
        <v>0</v>
      </c>
      <c r="AM88" s="96">
        <f>(((AM84)+(AM85))+(AM86))+(AM87)</f>
        <v>0</v>
      </c>
      <c r="AN88" s="96">
        <f>(AL88)-(AM88)</f>
        <v>0</v>
      </c>
      <c r="AO88" s="97" t="str">
        <f>IF(AM88=0,"",(AL88)/(AM88))</f>
        <v/>
      </c>
      <c r="AP88" s="96">
        <f t="shared" si="52"/>
        <v>35491.61</v>
      </c>
      <c r="AQ88" s="96">
        <f t="shared" si="52"/>
        <v>9375</v>
      </c>
      <c r="AR88" s="96">
        <f>(AP88)-(AQ88)</f>
        <v>26116.61</v>
      </c>
      <c r="AS88" s="97">
        <f>IF(AQ88=0,"",(AP88)/(AQ88))</f>
        <v>3.7857717333333336</v>
      </c>
    </row>
    <row r="89" spans="1:45" x14ac:dyDescent="0.35">
      <c r="A89" s="92" t="s">
        <v>181</v>
      </c>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row>
    <row r="90" spans="1:45" x14ac:dyDescent="0.35">
      <c r="A90" s="92" t="s">
        <v>385</v>
      </c>
      <c r="B90" s="94">
        <f>2060.27</f>
        <v>2060.27</v>
      </c>
      <c r="C90" s="93"/>
      <c r="D90" s="94">
        <f>(B90)-(C90)</f>
        <v>2060.27</v>
      </c>
      <c r="E90" s="95" t="str">
        <f>IF(C90=0,"",(B90)/(C90))</f>
        <v/>
      </c>
      <c r="F90" s="93"/>
      <c r="G90" s="93"/>
      <c r="H90" s="94">
        <f>(F90)-(G90)</f>
        <v>0</v>
      </c>
      <c r="I90" s="95" t="str">
        <f>IF(G90=0,"",(F90)/(G90))</f>
        <v/>
      </c>
      <c r="J90" s="93"/>
      <c r="K90" s="93"/>
      <c r="L90" s="94">
        <f>(J90)-(K90)</f>
        <v>0</v>
      </c>
      <c r="M90" s="95" t="str">
        <f>IF(K90=0,"",(J90)/(K90))</f>
        <v/>
      </c>
      <c r="N90" s="93"/>
      <c r="O90" s="93"/>
      <c r="P90" s="94">
        <f>(N90)-(O90)</f>
        <v>0</v>
      </c>
      <c r="Q90" s="95" t="str">
        <f>IF(O90=0,"",(N90)/(O90))</f>
        <v/>
      </c>
      <c r="R90" s="93"/>
      <c r="S90" s="93"/>
      <c r="T90" s="94">
        <f>(R90)-(S90)</f>
        <v>0</v>
      </c>
      <c r="U90" s="95" t="str">
        <f>IF(S90=0,"",(R90)/(S90))</f>
        <v/>
      </c>
      <c r="V90" s="93"/>
      <c r="W90" s="93"/>
      <c r="X90" s="94">
        <f>(V90)-(W90)</f>
        <v>0</v>
      </c>
      <c r="Y90" s="95" t="str">
        <f>IF(W90=0,"",(V90)/(W90))</f>
        <v/>
      </c>
      <c r="Z90" s="93"/>
      <c r="AA90" s="93"/>
      <c r="AB90" s="94">
        <f>(Z90)-(AA90)</f>
        <v>0</v>
      </c>
      <c r="AC90" s="95" t="str">
        <f>IF(AA90=0,"",(Z90)/(AA90))</f>
        <v/>
      </c>
      <c r="AD90" s="94">
        <f t="shared" ref="AD90:AE94" si="53">(V90)+(Z90)</f>
        <v>0</v>
      </c>
      <c r="AE90" s="94">
        <f t="shared" si="53"/>
        <v>0</v>
      </c>
      <c r="AF90" s="94">
        <f>(AD90)-(AE90)</f>
        <v>0</v>
      </c>
      <c r="AG90" s="95" t="str">
        <f>IF(AE90=0,"",(AD90)/(AE90))</f>
        <v/>
      </c>
      <c r="AH90" s="94">
        <f t="shared" ref="AH90:AI94" si="54">((((F90)+(J90))+(N90))+(R90))+(AD90)</f>
        <v>0</v>
      </c>
      <c r="AI90" s="94">
        <f t="shared" si="54"/>
        <v>0</v>
      </c>
      <c r="AJ90" s="94">
        <f>(AH90)-(AI90)</f>
        <v>0</v>
      </c>
      <c r="AK90" s="95" t="str">
        <f>IF(AI90=0,"",(AH90)/(AI90))</f>
        <v/>
      </c>
      <c r="AL90" s="93"/>
      <c r="AM90" s="93"/>
      <c r="AN90" s="94">
        <f>(AL90)-(AM90)</f>
        <v>0</v>
      </c>
      <c r="AO90" s="95" t="str">
        <f>IF(AM90=0,"",(AL90)/(AM90))</f>
        <v/>
      </c>
      <c r="AP90" s="94">
        <f t="shared" ref="AP90:AQ94" si="55">((B90)+(AH90))+(AL90)</f>
        <v>2060.27</v>
      </c>
      <c r="AQ90" s="94">
        <f t="shared" si="55"/>
        <v>0</v>
      </c>
      <c r="AR90" s="94">
        <f>(AP90)-(AQ90)</f>
        <v>2060.27</v>
      </c>
      <c r="AS90" s="95" t="str">
        <f>IF(AQ90=0,"",(AP90)/(AQ90))</f>
        <v/>
      </c>
    </row>
    <row r="91" spans="1:45" x14ac:dyDescent="0.35">
      <c r="A91" s="92" t="s">
        <v>386</v>
      </c>
      <c r="B91" s="93"/>
      <c r="C91" s="94">
        <f>0</f>
        <v>0</v>
      </c>
      <c r="D91" s="94">
        <f>(B91)-(C91)</f>
        <v>0</v>
      </c>
      <c r="E91" s="95" t="str">
        <f>IF(C91=0,"",(B91)/(C91))</f>
        <v/>
      </c>
      <c r="F91" s="93"/>
      <c r="G91" s="93"/>
      <c r="H91" s="94">
        <f>(F91)-(G91)</f>
        <v>0</v>
      </c>
      <c r="I91" s="95" t="str">
        <f>IF(G91=0,"",(F91)/(G91))</f>
        <v/>
      </c>
      <c r="J91" s="93"/>
      <c r="K91" s="93"/>
      <c r="L91" s="94">
        <f>(J91)-(K91)</f>
        <v>0</v>
      </c>
      <c r="M91" s="95" t="str">
        <f>IF(K91=0,"",(J91)/(K91))</f>
        <v/>
      </c>
      <c r="N91" s="93"/>
      <c r="O91" s="93"/>
      <c r="P91" s="94">
        <f>(N91)-(O91)</f>
        <v>0</v>
      </c>
      <c r="Q91" s="95" t="str">
        <f>IF(O91=0,"",(N91)/(O91))</f>
        <v/>
      </c>
      <c r="R91" s="93"/>
      <c r="S91" s="93"/>
      <c r="T91" s="94">
        <f>(R91)-(S91)</f>
        <v>0</v>
      </c>
      <c r="U91" s="95" t="str">
        <f>IF(S91=0,"",(R91)/(S91))</f>
        <v/>
      </c>
      <c r="V91" s="93"/>
      <c r="W91" s="93"/>
      <c r="X91" s="94">
        <f>(V91)-(W91)</f>
        <v>0</v>
      </c>
      <c r="Y91" s="95" t="str">
        <f>IF(W91=0,"",(V91)/(W91))</f>
        <v/>
      </c>
      <c r="Z91" s="93"/>
      <c r="AA91" s="93"/>
      <c r="AB91" s="94">
        <f>(Z91)-(AA91)</f>
        <v>0</v>
      </c>
      <c r="AC91" s="95" t="str">
        <f>IF(AA91=0,"",(Z91)/(AA91))</f>
        <v/>
      </c>
      <c r="AD91" s="94">
        <f t="shared" si="53"/>
        <v>0</v>
      </c>
      <c r="AE91" s="94">
        <f t="shared" si="53"/>
        <v>0</v>
      </c>
      <c r="AF91" s="94">
        <f>(AD91)-(AE91)</f>
        <v>0</v>
      </c>
      <c r="AG91" s="95" t="str">
        <f>IF(AE91=0,"",(AD91)/(AE91))</f>
        <v/>
      </c>
      <c r="AH91" s="94">
        <f t="shared" si="54"/>
        <v>0</v>
      </c>
      <c r="AI91" s="94">
        <f t="shared" si="54"/>
        <v>0</v>
      </c>
      <c r="AJ91" s="94">
        <f>(AH91)-(AI91)</f>
        <v>0</v>
      </c>
      <c r="AK91" s="95" t="str">
        <f>IF(AI91=0,"",(AH91)/(AI91))</f>
        <v/>
      </c>
      <c r="AL91" s="93"/>
      <c r="AM91" s="93"/>
      <c r="AN91" s="94">
        <f>(AL91)-(AM91)</f>
        <v>0</v>
      </c>
      <c r="AO91" s="95" t="str">
        <f>IF(AM91=0,"",(AL91)/(AM91))</f>
        <v/>
      </c>
      <c r="AP91" s="94">
        <f t="shared" si="55"/>
        <v>0</v>
      </c>
      <c r="AQ91" s="94">
        <f t="shared" si="55"/>
        <v>0</v>
      </c>
      <c r="AR91" s="94">
        <f>(AP91)-(AQ91)</f>
        <v>0</v>
      </c>
      <c r="AS91" s="95" t="str">
        <f>IF(AQ91=0,"",(AP91)/(AQ91))</f>
        <v/>
      </c>
    </row>
    <row r="92" spans="1:45" x14ac:dyDescent="0.35">
      <c r="A92" s="92" t="s">
        <v>182</v>
      </c>
      <c r="B92" s="96">
        <f>(B90)+(B91)</f>
        <v>2060.27</v>
      </c>
      <c r="C92" s="96">
        <f>(C90)+(C91)</f>
        <v>0</v>
      </c>
      <c r="D92" s="96">
        <f>(B92)-(C92)</f>
        <v>2060.27</v>
      </c>
      <c r="E92" s="97" t="str">
        <f>IF(C92=0,"",(B92)/(C92))</f>
        <v/>
      </c>
      <c r="F92" s="96">
        <f>(F90)+(F91)</f>
        <v>0</v>
      </c>
      <c r="G92" s="96">
        <f>(G90)+(G91)</f>
        <v>0</v>
      </c>
      <c r="H92" s="96">
        <f>(F92)-(G92)</f>
        <v>0</v>
      </c>
      <c r="I92" s="97" t="str">
        <f>IF(G92=0,"",(F92)/(G92))</f>
        <v/>
      </c>
      <c r="J92" s="96">
        <f>(J90)+(J91)</f>
        <v>0</v>
      </c>
      <c r="K92" s="96">
        <f>(K90)+(K91)</f>
        <v>0</v>
      </c>
      <c r="L92" s="96">
        <f>(J92)-(K92)</f>
        <v>0</v>
      </c>
      <c r="M92" s="97" t="str">
        <f>IF(K92=0,"",(J92)/(K92))</f>
        <v/>
      </c>
      <c r="N92" s="96">
        <f>(N90)+(N91)</f>
        <v>0</v>
      </c>
      <c r="O92" s="96">
        <f>(O90)+(O91)</f>
        <v>0</v>
      </c>
      <c r="P92" s="96">
        <f>(N92)-(O92)</f>
        <v>0</v>
      </c>
      <c r="Q92" s="97" t="str">
        <f>IF(O92=0,"",(N92)/(O92))</f>
        <v/>
      </c>
      <c r="R92" s="96">
        <f>(R90)+(R91)</f>
        <v>0</v>
      </c>
      <c r="S92" s="96">
        <f>(S90)+(S91)</f>
        <v>0</v>
      </c>
      <c r="T92" s="96">
        <f>(R92)-(S92)</f>
        <v>0</v>
      </c>
      <c r="U92" s="97" t="str">
        <f>IF(S92=0,"",(R92)/(S92))</f>
        <v/>
      </c>
      <c r="V92" s="96">
        <f>(V90)+(V91)</f>
        <v>0</v>
      </c>
      <c r="W92" s="96">
        <f>(W90)+(W91)</f>
        <v>0</v>
      </c>
      <c r="X92" s="96">
        <f>(V92)-(W92)</f>
        <v>0</v>
      </c>
      <c r="Y92" s="97" t="str">
        <f>IF(W92=0,"",(V92)/(W92))</f>
        <v/>
      </c>
      <c r="Z92" s="96">
        <f>(Z90)+(Z91)</f>
        <v>0</v>
      </c>
      <c r="AA92" s="96">
        <f>(AA90)+(AA91)</f>
        <v>0</v>
      </c>
      <c r="AB92" s="96">
        <f>(Z92)-(AA92)</f>
        <v>0</v>
      </c>
      <c r="AC92" s="97" t="str">
        <f>IF(AA92=0,"",(Z92)/(AA92))</f>
        <v/>
      </c>
      <c r="AD92" s="96">
        <f t="shared" si="53"/>
        <v>0</v>
      </c>
      <c r="AE92" s="96">
        <f t="shared" si="53"/>
        <v>0</v>
      </c>
      <c r="AF92" s="96">
        <f>(AD92)-(AE92)</f>
        <v>0</v>
      </c>
      <c r="AG92" s="97" t="str">
        <f>IF(AE92=0,"",(AD92)/(AE92))</f>
        <v/>
      </c>
      <c r="AH92" s="96">
        <f t="shared" si="54"/>
        <v>0</v>
      </c>
      <c r="AI92" s="96">
        <f t="shared" si="54"/>
        <v>0</v>
      </c>
      <c r="AJ92" s="96">
        <f>(AH92)-(AI92)</f>
        <v>0</v>
      </c>
      <c r="AK92" s="97" t="str">
        <f>IF(AI92=0,"",(AH92)/(AI92))</f>
        <v/>
      </c>
      <c r="AL92" s="96">
        <f>(AL90)+(AL91)</f>
        <v>0</v>
      </c>
      <c r="AM92" s="96">
        <f>(AM90)+(AM91)</f>
        <v>0</v>
      </c>
      <c r="AN92" s="96">
        <f>(AL92)-(AM92)</f>
        <v>0</v>
      </c>
      <c r="AO92" s="97" t="str">
        <f>IF(AM92=0,"",(AL92)/(AM92))</f>
        <v/>
      </c>
      <c r="AP92" s="96">
        <f t="shared" si="55"/>
        <v>2060.27</v>
      </c>
      <c r="AQ92" s="96">
        <f t="shared" si="55"/>
        <v>0</v>
      </c>
      <c r="AR92" s="96">
        <f>(AP92)-(AQ92)</f>
        <v>2060.27</v>
      </c>
      <c r="AS92" s="97" t="str">
        <f>IF(AQ92=0,"",(AP92)/(AQ92))</f>
        <v/>
      </c>
    </row>
    <row r="93" spans="1:45" x14ac:dyDescent="0.35">
      <c r="A93" s="92" t="s">
        <v>183</v>
      </c>
      <c r="B93" s="96">
        <f>(B88)-(B92)</f>
        <v>33431.340000000004</v>
      </c>
      <c r="C93" s="96">
        <f>(C88)-(C92)</f>
        <v>9375</v>
      </c>
      <c r="D93" s="96">
        <f>(B93)-(C93)</f>
        <v>24056.340000000004</v>
      </c>
      <c r="E93" s="97">
        <f>IF(C93=0,"",(B93)/(C93))</f>
        <v>3.5660096000000006</v>
      </c>
      <c r="F93" s="96">
        <f>(F88)-(F92)</f>
        <v>0</v>
      </c>
      <c r="G93" s="96">
        <f>(G88)-(G92)</f>
        <v>0</v>
      </c>
      <c r="H93" s="96">
        <f>(F93)-(G93)</f>
        <v>0</v>
      </c>
      <c r="I93" s="97" t="str">
        <f>IF(G93=0,"",(F93)/(G93))</f>
        <v/>
      </c>
      <c r="J93" s="96">
        <f>(J88)-(J92)</f>
        <v>0</v>
      </c>
      <c r="K93" s="96">
        <f>(K88)-(K92)</f>
        <v>0</v>
      </c>
      <c r="L93" s="96">
        <f>(J93)-(K93)</f>
        <v>0</v>
      </c>
      <c r="M93" s="97" t="str">
        <f>IF(K93=0,"",(J93)/(K93))</f>
        <v/>
      </c>
      <c r="N93" s="96">
        <f>(N88)-(N92)</f>
        <v>0</v>
      </c>
      <c r="O93" s="96">
        <f>(O88)-(O92)</f>
        <v>0</v>
      </c>
      <c r="P93" s="96">
        <f>(N93)-(O93)</f>
        <v>0</v>
      </c>
      <c r="Q93" s="97" t="str">
        <f>IF(O93=0,"",(N93)/(O93))</f>
        <v/>
      </c>
      <c r="R93" s="96">
        <f>(R88)-(R92)</f>
        <v>0</v>
      </c>
      <c r="S93" s="96">
        <f>(S88)-(S92)</f>
        <v>0</v>
      </c>
      <c r="T93" s="96">
        <f>(R93)-(S93)</f>
        <v>0</v>
      </c>
      <c r="U93" s="97" t="str">
        <f>IF(S93=0,"",(R93)/(S93))</f>
        <v/>
      </c>
      <c r="V93" s="96">
        <f>(V88)-(V92)</f>
        <v>0</v>
      </c>
      <c r="W93" s="96">
        <f>(W88)-(W92)</f>
        <v>0</v>
      </c>
      <c r="X93" s="96">
        <f>(V93)-(W93)</f>
        <v>0</v>
      </c>
      <c r="Y93" s="97" t="str">
        <f>IF(W93=0,"",(V93)/(W93))</f>
        <v/>
      </c>
      <c r="Z93" s="96">
        <f>(Z88)-(Z92)</f>
        <v>0</v>
      </c>
      <c r="AA93" s="96">
        <f>(AA88)-(AA92)</f>
        <v>0</v>
      </c>
      <c r="AB93" s="96">
        <f>(Z93)-(AA93)</f>
        <v>0</v>
      </c>
      <c r="AC93" s="97" t="str">
        <f>IF(AA93=0,"",(Z93)/(AA93))</f>
        <v/>
      </c>
      <c r="AD93" s="96">
        <f t="shared" si="53"/>
        <v>0</v>
      </c>
      <c r="AE93" s="96">
        <f t="shared" si="53"/>
        <v>0</v>
      </c>
      <c r="AF93" s="96">
        <f>(AD93)-(AE93)</f>
        <v>0</v>
      </c>
      <c r="AG93" s="97" t="str">
        <f>IF(AE93=0,"",(AD93)/(AE93))</f>
        <v/>
      </c>
      <c r="AH93" s="96">
        <f t="shared" si="54"/>
        <v>0</v>
      </c>
      <c r="AI93" s="96">
        <f t="shared" si="54"/>
        <v>0</v>
      </c>
      <c r="AJ93" s="96">
        <f>(AH93)-(AI93)</f>
        <v>0</v>
      </c>
      <c r="AK93" s="97" t="str">
        <f>IF(AI93=0,"",(AH93)/(AI93))</f>
        <v/>
      </c>
      <c r="AL93" s="96">
        <f>(AL88)-(AL92)</f>
        <v>0</v>
      </c>
      <c r="AM93" s="96">
        <f>(AM88)-(AM92)</f>
        <v>0</v>
      </c>
      <c r="AN93" s="96">
        <f>(AL93)-(AM93)</f>
        <v>0</v>
      </c>
      <c r="AO93" s="97" t="str">
        <f>IF(AM93=0,"",(AL93)/(AM93))</f>
        <v/>
      </c>
      <c r="AP93" s="96">
        <f t="shared" si="55"/>
        <v>33431.340000000004</v>
      </c>
      <c r="AQ93" s="96">
        <f t="shared" si="55"/>
        <v>9375</v>
      </c>
      <c r="AR93" s="96">
        <f>(AP93)-(AQ93)</f>
        <v>24056.340000000004</v>
      </c>
      <c r="AS93" s="97">
        <f>IF(AQ93=0,"",(AP93)/(AQ93))</f>
        <v>3.5660096000000006</v>
      </c>
    </row>
    <row r="94" spans="1:45" x14ac:dyDescent="0.35">
      <c r="A94" s="92" t="s">
        <v>184</v>
      </c>
      <c r="B94" s="96">
        <f>(B82)+(B93)</f>
        <v>-247223.68000000002</v>
      </c>
      <c r="C94" s="96">
        <f>(C82)+(C93)</f>
        <v>-254252.69</v>
      </c>
      <c r="D94" s="96">
        <f>(B94)-(C94)</f>
        <v>7029.0099999999802</v>
      </c>
      <c r="E94" s="97">
        <f>IF(C94=0,"",(B94)/(C94))</f>
        <v>0.97235423546551281</v>
      </c>
      <c r="F94" s="96">
        <f>(F82)+(F93)</f>
        <v>0</v>
      </c>
      <c r="G94" s="96">
        <f>(G82)+(G93)</f>
        <v>3330.2999999999993</v>
      </c>
      <c r="H94" s="96">
        <f>(F94)-(G94)</f>
        <v>-3330.2999999999993</v>
      </c>
      <c r="I94" s="97">
        <f>IF(G94=0,"",(F94)/(G94))</f>
        <v>0</v>
      </c>
      <c r="J94" s="96">
        <f>(J82)+(J93)</f>
        <v>-689.01</v>
      </c>
      <c r="K94" s="96">
        <f>(K82)+(K93)</f>
        <v>0</v>
      </c>
      <c r="L94" s="96">
        <f>(J94)-(K94)</f>
        <v>-689.01</v>
      </c>
      <c r="M94" s="97" t="str">
        <f>IF(K94=0,"",(J94)/(K94))</f>
        <v/>
      </c>
      <c r="N94" s="96">
        <f>(N82)+(N93)</f>
        <v>3789</v>
      </c>
      <c r="O94" s="96">
        <f>(O82)+(O93)</f>
        <v>0</v>
      </c>
      <c r="P94" s="96">
        <f>(N94)-(O94)</f>
        <v>3789</v>
      </c>
      <c r="Q94" s="97" t="str">
        <f>IF(O94=0,"",(N94)/(O94))</f>
        <v/>
      </c>
      <c r="R94" s="96">
        <f>(R82)+(R93)</f>
        <v>-6750</v>
      </c>
      <c r="S94" s="96">
        <f>(S82)+(S93)</f>
        <v>0</v>
      </c>
      <c r="T94" s="96">
        <f>(R94)-(S94)</f>
        <v>-6750</v>
      </c>
      <c r="U94" s="97" t="str">
        <f>IF(S94=0,"",(R94)/(S94))</f>
        <v/>
      </c>
      <c r="V94" s="96">
        <f>(V82)+(V93)</f>
        <v>10914.88</v>
      </c>
      <c r="W94" s="96">
        <f>(W82)+(W93)</f>
        <v>0</v>
      </c>
      <c r="X94" s="96">
        <f>(V94)-(W94)</f>
        <v>10914.88</v>
      </c>
      <c r="Y94" s="97" t="str">
        <f>IF(W94=0,"",(V94)/(W94))</f>
        <v/>
      </c>
      <c r="Z94" s="96">
        <f>(Z82)+(Z93)</f>
        <v>-3436.5</v>
      </c>
      <c r="AA94" s="96">
        <f>(AA82)+(AA93)</f>
        <v>0</v>
      </c>
      <c r="AB94" s="96">
        <f>(Z94)-(AA94)</f>
        <v>-3436.5</v>
      </c>
      <c r="AC94" s="97" t="str">
        <f>IF(AA94=0,"",(Z94)/(AA94))</f>
        <v/>
      </c>
      <c r="AD94" s="96">
        <f t="shared" si="53"/>
        <v>7478.3799999999992</v>
      </c>
      <c r="AE94" s="96">
        <f t="shared" si="53"/>
        <v>0</v>
      </c>
      <c r="AF94" s="96">
        <f>(AD94)-(AE94)</f>
        <v>7478.3799999999992</v>
      </c>
      <c r="AG94" s="97" t="str">
        <f>IF(AE94=0,"",(AD94)/(AE94))</f>
        <v/>
      </c>
      <c r="AH94" s="96">
        <f t="shared" si="54"/>
        <v>3828.369999999999</v>
      </c>
      <c r="AI94" s="96">
        <f t="shared" si="54"/>
        <v>3330.2999999999993</v>
      </c>
      <c r="AJ94" s="96">
        <f>(AH94)-(AI94)</f>
        <v>498.06999999999971</v>
      </c>
      <c r="AK94" s="97">
        <f>IF(AI94=0,"",(AH94)/(AI94))</f>
        <v>1.1495570969582318</v>
      </c>
      <c r="AL94" s="96">
        <f>(AL82)+(AL93)</f>
        <v>226206.37000000002</v>
      </c>
      <c r="AM94" s="96">
        <f>(AM82)+(AM93)</f>
        <v>213326.69999999998</v>
      </c>
      <c r="AN94" s="96">
        <f>(AL94)-(AM94)</f>
        <v>12879.670000000042</v>
      </c>
      <c r="AO94" s="97">
        <f>IF(AM94=0,"",(AL94)/(AM94))</f>
        <v>1.0603753304204304</v>
      </c>
      <c r="AP94" s="96">
        <f t="shared" si="55"/>
        <v>-17188.940000000002</v>
      </c>
      <c r="AQ94" s="96">
        <f t="shared" si="55"/>
        <v>-37595.690000000031</v>
      </c>
      <c r="AR94" s="96">
        <f>(AP94)-(AQ94)</f>
        <v>20406.750000000029</v>
      </c>
      <c r="AS94" s="97">
        <f>IF(AQ94=0,"",(AP94)/(AQ94))</f>
        <v>0.45720506792134918</v>
      </c>
    </row>
  </sheetData>
  <mergeCells count="14">
    <mergeCell ref="A1:AS1"/>
    <mergeCell ref="A2:AS2"/>
    <mergeCell ref="A3:AS3"/>
    <mergeCell ref="AP5:AS5"/>
    <mergeCell ref="AD5:AG5"/>
    <mergeCell ref="AH5:AK5"/>
    <mergeCell ref="F5:I5"/>
    <mergeCell ref="B5:E5"/>
    <mergeCell ref="AL5:AO5"/>
    <mergeCell ref="J5:M5"/>
    <mergeCell ref="N5:Q5"/>
    <mergeCell ref="R5:U5"/>
    <mergeCell ref="V5:Y5"/>
    <mergeCell ref="Z5:A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DEC0-A29E-4E91-8FE1-5DDC1E631361}">
  <sheetPr>
    <tabColor theme="9" tint="0.79998168889431442"/>
  </sheetPr>
  <dimension ref="A1:G78"/>
  <sheetViews>
    <sheetView topLeftCell="A48" workbookViewId="0">
      <selection activeCell="K61" sqref="K61:K62"/>
    </sheetView>
  </sheetViews>
  <sheetFormatPr defaultRowHeight="14.5" x14ac:dyDescent="0.35"/>
  <cols>
    <col min="1" max="1" width="39.54296875" bestFit="1" customWidth="1"/>
    <col min="2" max="2" width="10.26953125" customWidth="1"/>
    <col min="3" max="7" width="10.453125" bestFit="1" customWidth="1"/>
  </cols>
  <sheetData>
    <row r="1" spans="1:7" ht="18" x14ac:dyDescent="0.4">
      <c r="A1" s="119" t="s">
        <v>172</v>
      </c>
      <c r="B1" s="115"/>
      <c r="C1" s="115"/>
      <c r="D1" s="115"/>
      <c r="E1" s="115"/>
      <c r="F1" s="115"/>
      <c r="G1" s="115"/>
    </row>
    <row r="2" spans="1:7" ht="18" x14ac:dyDescent="0.4">
      <c r="A2" s="119" t="s">
        <v>204</v>
      </c>
      <c r="B2" s="115"/>
      <c r="C2" s="115"/>
      <c r="D2" s="115"/>
      <c r="E2" s="115"/>
      <c r="F2" s="115"/>
      <c r="G2" s="115"/>
    </row>
    <row r="3" spans="1:7" x14ac:dyDescent="0.35">
      <c r="A3" s="120" t="s">
        <v>460</v>
      </c>
      <c r="B3" s="115"/>
      <c r="C3" s="115"/>
      <c r="D3" s="115"/>
      <c r="E3" s="115"/>
      <c r="F3" s="115"/>
      <c r="G3" s="115"/>
    </row>
    <row r="5" spans="1:7" x14ac:dyDescent="0.35">
      <c r="A5" s="1"/>
      <c r="B5" s="91" t="s">
        <v>226</v>
      </c>
      <c r="C5" s="91" t="s">
        <v>447</v>
      </c>
      <c r="D5" s="91" t="s">
        <v>454</v>
      </c>
      <c r="E5" s="91" t="s">
        <v>457</v>
      </c>
      <c r="F5" s="91" t="s">
        <v>465</v>
      </c>
      <c r="G5" s="91" t="s">
        <v>14</v>
      </c>
    </row>
    <row r="6" spans="1:7" x14ac:dyDescent="0.35">
      <c r="A6" s="92" t="s">
        <v>173</v>
      </c>
      <c r="B6" s="93"/>
      <c r="C6" s="93"/>
      <c r="D6" s="93"/>
      <c r="E6" s="93"/>
      <c r="F6" s="93"/>
      <c r="G6" s="93"/>
    </row>
    <row r="7" spans="1:7" x14ac:dyDescent="0.35">
      <c r="A7" s="92" t="s">
        <v>315</v>
      </c>
      <c r="B7" s="93"/>
      <c r="C7" s="93"/>
      <c r="D7" s="93"/>
      <c r="E7" s="93"/>
      <c r="F7" s="93"/>
      <c r="G7" s="94">
        <f t="shared" ref="G7:G30" si="0">((((B7)+(C7))+(D7))+(E7))+(F7)</f>
        <v>0</v>
      </c>
    </row>
    <row r="8" spans="1:7" x14ac:dyDescent="0.35">
      <c r="A8" s="92" t="s">
        <v>316</v>
      </c>
      <c r="B8" s="94">
        <f>864.59</f>
        <v>864.59</v>
      </c>
      <c r="C8" s="94">
        <f>1002.93</f>
        <v>1002.93</v>
      </c>
      <c r="D8" s="94">
        <f>933.76</f>
        <v>933.76</v>
      </c>
      <c r="E8" s="94">
        <f>979.87</f>
        <v>979.87</v>
      </c>
      <c r="F8" s="94">
        <f>1031.75</f>
        <v>1031.75</v>
      </c>
      <c r="G8" s="94">
        <f t="shared" si="0"/>
        <v>4812.8999999999996</v>
      </c>
    </row>
    <row r="9" spans="1:7" x14ac:dyDescent="0.35">
      <c r="A9" s="92" t="s">
        <v>317</v>
      </c>
      <c r="B9" s="94">
        <f>10067.25</f>
        <v>10067.25</v>
      </c>
      <c r="C9" s="94">
        <f>10352.87</f>
        <v>10352.870000000001</v>
      </c>
      <c r="D9" s="94">
        <f>10042.87</f>
        <v>10042.870000000001</v>
      </c>
      <c r="E9" s="94">
        <f>10297.7</f>
        <v>10297.700000000001</v>
      </c>
      <c r="F9" s="94">
        <f>10297.7</f>
        <v>10297.700000000001</v>
      </c>
      <c r="G9" s="94">
        <f t="shared" si="0"/>
        <v>51058.39</v>
      </c>
    </row>
    <row r="10" spans="1:7" x14ac:dyDescent="0.35">
      <c r="A10" s="92" t="s">
        <v>318</v>
      </c>
      <c r="B10" s="94">
        <f>7531.88</f>
        <v>7531.88</v>
      </c>
      <c r="C10" s="94">
        <f>7531.88</f>
        <v>7531.88</v>
      </c>
      <c r="D10" s="94">
        <f>7531.88</f>
        <v>7531.88</v>
      </c>
      <c r="E10" s="94">
        <f>7903.82</f>
        <v>7903.82</v>
      </c>
      <c r="F10" s="94">
        <f>7903.82</f>
        <v>7903.82</v>
      </c>
      <c r="G10" s="94">
        <f t="shared" si="0"/>
        <v>38403.279999999999</v>
      </c>
    </row>
    <row r="11" spans="1:7" x14ac:dyDescent="0.35">
      <c r="A11" s="92" t="s">
        <v>319</v>
      </c>
      <c r="B11" s="94">
        <f>8920.94</f>
        <v>8920.94</v>
      </c>
      <c r="C11" s="94">
        <f>8880.1</f>
        <v>8880.1</v>
      </c>
      <c r="D11" s="94">
        <f>8900.52</f>
        <v>8900.52</v>
      </c>
      <c r="E11" s="94">
        <f>8900.52</f>
        <v>8900.52</v>
      </c>
      <c r="F11" s="94">
        <f>8900.52</f>
        <v>8900.52</v>
      </c>
      <c r="G11" s="94">
        <f t="shared" si="0"/>
        <v>44502.600000000006</v>
      </c>
    </row>
    <row r="12" spans="1:7" x14ac:dyDescent="0.35">
      <c r="A12" s="92" t="s">
        <v>320</v>
      </c>
      <c r="B12" s="94">
        <f>3175</f>
        <v>3175</v>
      </c>
      <c r="C12" s="94">
        <f>4762.5</f>
        <v>4762.5</v>
      </c>
      <c r="D12" s="94">
        <f>3968.75</f>
        <v>3968.75</v>
      </c>
      <c r="E12" s="94">
        <f>3968.75</f>
        <v>3968.75</v>
      </c>
      <c r="F12" s="94">
        <f>3968.75</f>
        <v>3968.75</v>
      </c>
      <c r="G12" s="94">
        <f t="shared" si="0"/>
        <v>19843.75</v>
      </c>
    </row>
    <row r="13" spans="1:7" x14ac:dyDescent="0.35">
      <c r="A13" s="92" t="s">
        <v>321</v>
      </c>
      <c r="B13" s="94">
        <f>6339.5</f>
        <v>6339.5</v>
      </c>
      <c r="C13" s="94">
        <f>6339.5</f>
        <v>6339.5</v>
      </c>
      <c r="D13" s="94">
        <f>6339.5</f>
        <v>6339.5</v>
      </c>
      <c r="E13" s="94">
        <f>6339.5</f>
        <v>6339.5</v>
      </c>
      <c r="F13" s="94">
        <f>6339.5</f>
        <v>6339.5</v>
      </c>
      <c r="G13" s="94">
        <f t="shared" si="0"/>
        <v>31697.5</v>
      </c>
    </row>
    <row r="14" spans="1:7" x14ac:dyDescent="0.35">
      <c r="A14" s="92" t="s">
        <v>322</v>
      </c>
      <c r="B14" s="94">
        <f>1155</f>
        <v>1155</v>
      </c>
      <c r="C14" s="94">
        <f>1155</f>
        <v>1155</v>
      </c>
      <c r="D14" s="94">
        <f>1155</f>
        <v>1155</v>
      </c>
      <c r="E14" s="94">
        <f>1925</f>
        <v>1925</v>
      </c>
      <c r="F14" s="94">
        <f>1925</f>
        <v>1925</v>
      </c>
      <c r="G14" s="94">
        <f t="shared" si="0"/>
        <v>7315</v>
      </c>
    </row>
    <row r="15" spans="1:7" x14ac:dyDescent="0.35">
      <c r="A15" s="92" t="s">
        <v>323</v>
      </c>
      <c r="B15" s="94">
        <f>1033.33</f>
        <v>1033.33</v>
      </c>
      <c r="C15" s="94">
        <f>1679.17</f>
        <v>1679.17</v>
      </c>
      <c r="D15" s="94">
        <f>1743.76</f>
        <v>1743.76</v>
      </c>
      <c r="E15" s="94">
        <f>1485.42</f>
        <v>1485.42</v>
      </c>
      <c r="F15" s="94">
        <f>1485.42</f>
        <v>1485.42</v>
      </c>
      <c r="G15" s="94">
        <f t="shared" si="0"/>
        <v>7427.1</v>
      </c>
    </row>
    <row r="16" spans="1:7" x14ac:dyDescent="0.35">
      <c r="A16" s="92" t="s">
        <v>450</v>
      </c>
      <c r="B16" s="94">
        <f>69.17</f>
        <v>69.17</v>
      </c>
      <c r="C16" s="94">
        <f>69.17</f>
        <v>69.17</v>
      </c>
      <c r="D16" s="94">
        <f>69.17</f>
        <v>69.17</v>
      </c>
      <c r="E16" s="94">
        <f>69.17</f>
        <v>69.17</v>
      </c>
      <c r="F16" s="94">
        <f>69.17</f>
        <v>69.17</v>
      </c>
      <c r="G16" s="94">
        <f t="shared" si="0"/>
        <v>345.85</v>
      </c>
    </row>
    <row r="17" spans="1:7" x14ac:dyDescent="0.35">
      <c r="A17" s="92" t="s">
        <v>324</v>
      </c>
      <c r="B17" s="96">
        <f>(((((((((B7)+(B8))+(B9))+(B10))+(B11))+(B12))+(B13))+(B14))+(B15))+(B16)</f>
        <v>39156.660000000003</v>
      </c>
      <c r="C17" s="96">
        <f>(((((((((C7)+(C8))+(C9))+(C10))+(C11))+(C12))+(C13))+(C14))+(C15))+(C16)</f>
        <v>41773.119999999995</v>
      </c>
      <c r="D17" s="96">
        <f>(((((((((D7)+(D8))+(D9))+(D10))+(D11))+(D12))+(D13))+(D14))+(D15))+(D16)</f>
        <v>40685.21</v>
      </c>
      <c r="E17" s="96">
        <f>(((((((((E7)+(E8))+(E9))+(E10))+(E11))+(E12))+(E13))+(E14))+(E15))+(E16)</f>
        <v>41869.75</v>
      </c>
      <c r="F17" s="96">
        <f>(((((((((F7)+(F8))+(F9))+(F10))+(F11))+(F12))+(F13))+(F14))+(F15))+(F16)</f>
        <v>41921.629999999997</v>
      </c>
      <c r="G17" s="96">
        <f t="shared" si="0"/>
        <v>205406.37</v>
      </c>
    </row>
    <row r="18" spans="1:7" x14ac:dyDescent="0.35">
      <c r="A18" s="92" t="s">
        <v>325</v>
      </c>
      <c r="B18" s="93"/>
      <c r="C18" s="93"/>
      <c r="D18" s="93"/>
      <c r="E18" s="93"/>
      <c r="F18" s="93"/>
      <c r="G18" s="94">
        <f t="shared" si="0"/>
        <v>0</v>
      </c>
    </row>
    <row r="19" spans="1:7" x14ac:dyDescent="0.35">
      <c r="A19" s="92" t="s">
        <v>330</v>
      </c>
      <c r="B19" s="93"/>
      <c r="C19" s="93"/>
      <c r="D19" s="93"/>
      <c r="E19" s="93"/>
      <c r="F19" s="93"/>
      <c r="G19" s="94">
        <f t="shared" si="0"/>
        <v>0</v>
      </c>
    </row>
    <row r="20" spans="1:7" x14ac:dyDescent="0.35">
      <c r="A20" s="92" t="s">
        <v>331</v>
      </c>
      <c r="B20" s="94">
        <f>8549</f>
        <v>8549</v>
      </c>
      <c r="C20" s="94">
        <f>1137</f>
        <v>1137</v>
      </c>
      <c r="D20" s="94">
        <f>256</f>
        <v>256</v>
      </c>
      <c r="E20" s="94">
        <f>4715</f>
        <v>4715</v>
      </c>
      <c r="F20" s="94">
        <f>3789</f>
        <v>3789</v>
      </c>
      <c r="G20" s="94">
        <f t="shared" si="0"/>
        <v>18446</v>
      </c>
    </row>
    <row r="21" spans="1:7" x14ac:dyDescent="0.35">
      <c r="A21" s="92" t="s">
        <v>332</v>
      </c>
      <c r="B21" s="96">
        <f>(B19)+(B20)</f>
        <v>8549</v>
      </c>
      <c r="C21" s="96">
        <f>(C19)+(C20)</f>
        <v>1137</v>
      </c>
      <c r="D21" s="96">
        <f>(D19)+(D20)</f>
        <v>256</v>
      </c>
      <c r="E21" s="96">
        <f>(E19)+(E20)</f>
        <v>4715</v>
      </c>
      <c r="F21" s="96">
        <f>(F19)+(F20)</f>
        <v>3789</v>
      </c>
      <c r="G21" s="96">
        <f t="shared" si="0"/>
        <v>18446</v>
      </c>
    </row>
    <row r="22" spans="1:7" x14ac:dyDescent="0.35">
      <c r="A22" s="92" t="s">
        <v>333</v>
      </c>
      <c r="B22" s="96">
        <f>(B18)+(B21)</f>
        <v>8549</v>
      </c>
      <c r="C22" s="96">
        <f>(C18)+(C21)</f>
        <v>1137</v>
      </c>
      <c r="D22" s="96">
        <f>(D18)+(D21)</f>
        <v>256</v>
      </c>
      <c r="E22" s="96">
        <f>(E18)+(E21)</f>
        <v>4715</v>
      </c>
      <c r="F22" s="96">
        <f>(F18)+(F21)</f>
        <v>3789</v>
      </c>
      <c r="G22" s="96">
        <f t="shared" si="0"/>
        <v>18446</v>
      </c>
    </row>
    <row r="23" spans="1:7" x14ac:dyDescent="0.35">
      <c r="A23" s="92" t="s">
        <v>334</v>
      </c>
      <c r="B23" s="94">
        <f>10400</f>
        <v>10400</v>
      </c>
      <c r="C23" s="94">
        <f>10400</f>
        <v>10400</v>
      </c>
      <c r="D23" s="94">
        <f>0</f>
        <v>0</v>
      </c>
      <c r="E23" s="94">
        <f>0</f>
        <v>0</v>
      </c>
      <c r="F23" s="94">
        <f>0</f>
        <v>0</v>
      </c>
      <c r="G23" s="94">
        <f t="shared" si="0"/>
        <v>20800</v>
      </c>
    </row>
    <row r="24" spans="1:7" x14ac:dyDescent="0.35">
      <c r="A24" s="92" t="s">
        <v>335</v>
      </c>
      <c r="B24" s="93"/>
      <c r="C24" s="93"/>
      <c r="D24" s="93"/>
      <c r="E24" s="93"/>
      <c r="F24" s="93"/>
      <c r="G24" s="94">
        <f t="shared" si="0"/>
        <v>0</v>
      </c>
    </row>
    <row r="25" spans="1:7" x14ac:dyDescent="0.35">
      <c r="A25" s="92" t="s">
        <v>337</v>
      </c>
      <c r="B25" s="93"/>
      <c r="C25" s="94">
        <f>63.6</f>
        <v>63.6</v>
      </c>
      <c r="D25" s="94">
        <f>60.2</f>
        <v>60.2</v>
      </c>
      <c r="E25" s="93"/>
      <c r="F25" s="94">
        <f>39.6</f>
        <v>39.6</v>
      </c>
      <c r="G25" s="94">
        <f t="shared" si="0"/>
        <v>163.4</v>
      </c>
    </row>
    <row r="26" spans="1:7" x14ac:dyDescent="0.35">
      <c r="A26" s="92" t="s">
        <v>338</v>
      </c>
      <c r="B26" s="94">
        <f>444.5</f>
        <v>444.5</v>
      </c>
      <c r="C26" s="94">
        <f>383.07</f>
        <v>383.07</v>
      </c>
      <c r="D26" s="94">
        <f>49.7</f>
        <v>49.7</v>
      </c>
      <c r="E26" s="94">
        <f>0</f>
        <v>0</v>
      </c>
      <c r="F26" s="94">
        <f>0</f>
        <v>0</v>
      </c>
      <c r="G26" s="94">
        <f t="shared" si="0"/>
        <v>877.27</v>
      </c>
    </row>
    <row r="27" spans="1:7" x14ac:dyDescent="0.35">
      <c r="A27" s="92" t="s">
        <v>340</v>
      </c>
      <c r="B27" s="94">
        <f>50</f>
        <v>50</v>
      </c>
      <c r="C27" s="93"/>
      <c r="D27" s="93"/>
      <c r="E27" s="93"/>
      <c r="F27" s="93"/>
      <c r="G27" s="94">
        <f t="shared" si="0"/>
        <v>50</v>
      </c>
    </row>
    <row r="28" spans="1:7" x14ac:dyDescent="0.35">
      <c r="A28" s="92" t="s">
        <v>341</v>
      </c>
      <c r="B28" s="96">
        <f>(((B24)+(B25))+(B26))+(B27)</f>
        <v>494.5</v>
      </c>
      <c r="C28" s="96">
        <f>(((C24)+(C25))+(C26))+(C27)</f>
        <v>446.67</v>
      </c>
      <c r="D28" s="96">
        <f>(((D24)+(D25))+(D26))+(D27)</f>
        <v>109.9</v>
      </c>
      <c r="E28" s="96">
        <f>(((E24)+(E25))+(E26))+(E27)</f>
        <v>0</v>
      </c>
      <c r="F28" s="96">
        <f>(((F24)+(F25))+(F26))+(F27)</f>
        <v>39.6</v>
      </c>
      <c r="G28" s="96">
        <f t="shared" si="0"/>
        <v>1090.67</v>
      </c>
    </row>
    <row r="29" spans="1:7" x14ac:dyDescent="0.35">
      <c r="A29" s="92" t="s">
        <v>174</v>
      </c>
      <c r="B29" s="96">
        <f>(((B17)+(B22))+(B23))+(B28)</f>
        <v>58600.160000000003</v>
      </c>
      <c r="C29" s="96">
        <f>(((C17)+(C22))+(C23))+(C28)</f>
        <v>53756.789999999994</v>
      </c>
      <c r="D29" s="96">
        <f>(((D17)+(D22))+(D23))+(D28)</f>
        <v>41051.11</v>
      </c>
      <c r="E29" s="96">
        <f>(((E17)+(E22))+(E23))+(E28)</f>
        <v>46584.75</v>
      </c>
      <c r="F29" s="96">
        <f>(((F17)+(F22))+(F23))+(F28)</f>
        <v>45750.229999999996</v>
      </c>
      <c r="G29" s="96">
        <f t="shared" si="0"/>
        <v>245743.03999999998</v>
      </c>
    </row>
    <row r="30" spans="1:7" x14ac:dyDescent="0.35">
      <c r="A30" s="92" t="s">
        <v>20</v>
      </c>
      <c r="B30" s="96">
        <f>(B29)-(0)</f>
        <v>58600.160000000003</v>
      </c>
      <c r="C30" s="96">
        <f>(C29)-(0)</f>
        <v>53756.789999999994</v>
      </c>
      <c r="D30" s="96">
        <f>(D29)-(0)</f>
        <v>41051.11</v>
      </c>
      <c r="E30" s="96">
        <f>(E29)-(0)</f>
        <v>46584.75</v>
      </c>
      <c r="F30" s="96">
        <f>(F29)-(0)</f>
        <v>45750.229999999996</v>
      </c>
      <c r="G30" s="96">
        <f t="shared" si="0"/>
        <v>245743.03999999998</v>
      </c>
    </row>
    <row r="31" spans="1:7" x14ac:dyDescent="0.35">
      <c r="A31" s="92" t="s">
        <v>175</v>
      </c>
      <c r="B31" s="93"/>
      <c r="C31" s="93"/>
      <c r="D31" s="93"/>
      <c r="E31" s="93"/>
      <c r="F31" s="93"/>
      <c r="G31" s="93"/>
    </row>
    <row r="32" spans="1:7" x14ac:dyDescent="0.35">
      <c r="A32" s="92" t="s">
        <v>342</v>
      </c>
      <c r="B32" s="93"/>
      <c r="C32" s="93"/>
      <c r="D32" s="93"/>
      <c r="E32" s="93"/>
      <c r="F32" s="93"/>
      <c r="G32" s="94">
        <f t="shared" ref="G32:G68" si="1">((((B32)+(C32))+(D32))+(E32))+(F32)</f>
        <v>0</v>
      </c>
    </row>
    <row r="33" spans="1:7" x14ac:dyDescent="0.35">
      <c r="A33" s="92" t="s">
        <v>343</v>
      </c>
      <c r="B33" s="93"/>
      <c r="C33" s="93"/>
      <c r="D33" s="93"/>
      <c r="E33" s="94">
        <f>714.01</f>
        <v>714.01</v>
      </c>
      <c r="F33" s="93"/>
      <c r="G33" s="94">
        <f t="shared" si="1"/>
        <v>714.01</v>
      </c>
    </row>
    <row r="34" spans="1:7" x14ac:dyDescent="0.35">
      <c r="A34" s="92" t="s">
        <v>452</v>
      </c>
      <c r="B34" s="94">
        <f>1350</f>
        <v>1350</v>
      </c>
      <c r="C34" s="94">
        <f>1350</f>
        <v>1350</v>
      </c>
      <c r="D34" s="94">
        <f>1350</f>
        <v>1350</v>
      </c>
      <c r="E34" s="94">
        <f>1350</f>
        <v>1350</v>
      </c>
      <c r="F34" s="94">
        <f>1350</f>
        <v>1350</v>
      </c>
      <c r="G34" s="94">
        <f t="shared" si="1"/>
        <v>6750</v>
      </c>
    </row>
    <row r="35" spans="1:7" x14ac:dyDescent="0.35">
      <c r="A35" s="92" t="s">
        <v>344</v>
      </c>
      <c r="B35" s="94">
        <f>3087.5</f>
        <v>3087.5</v>
      </c>
      <c r="C35" s="94">
        <f>62.5</f>
        <v>62.5</v>
      </c>
      <c r="D35" s="94">
        <f>312.5</f>
        <v>312.5</v>
      </c>
      <c r="E35" s="94">
        <f>2681.26</f>
        <v>2681.26</v>
      </c>
      <c r="F35" s="94">
        <f>880.5</f>
        <v>880.5</v>
      </c>
      <c r="G35" s="94">
        <f t="shared" si="1"/>
        <v>7024.26</v>
      </c>
    </row>
    <row r="36" spans="1:7" x14ac:dyDescent="0.35">
      <c r="A36" s="92" t="s">
        <v>345</v>
      </c>
      <c r="B36" s="96">
        <f>(((B32)+(B33))+(B34))+(B35)</f>
        <v>4437.5</v>
      </c>
      <c r="C36" s="96">
        <f>(((C32)+(C33))+(C34))+(C35)</f>
        <v>1412.5</v>
      </c>
      <c r="D36" s="96">
        <f>(((D32)+(D33))+(D34))+(D35)</f>
        <v>1662.5</v>
      </c>
      <c r="E36" s="96">
        <f>(((E32)+(E33))+(E34))+(E35)</f>
        <v>4745.2700000000004</v>
      </c>
      <c r="F36" s="96">
        <f>(((F32)+(F33))+(F34))+(F35)</f>
        <v>2230.5</v>
      </c>
      <c r="G36" s="96">
        <f t="shared" si="1"/>
        <v>14488.27</v>
      </c>
    </row>
    <row r="37" spans="1:7" x14ac:dyDescent="0.35">
      <c r="A37" s="92" t="s">
        <v>346</v>
      </c>
      <c r="B37" s="93"/>
      <c r="C37" s="93"/>
      <c r="D37" s="93"/>
      <c r="E37" s="93"/>
      <c r="F37" s="93"/>
      <c r="G37" s="94">
        <f t="shared" si="1"/>
        <v>0</v>
      </c>
    </row>
    <row r="38" spans="1:7" x14ac:dyDescent="0.35">
      <c r="A38" s="92" t="s">
        <v>347</v>
      </c>
      <c r="B38" s="94">
        <f>30405.12</f>
        <v>30405.119999999999</v>
      </c>
      <c r="C38" s="94">
        <f>29212.57</f>
        <v>29212.57</v>
      </c>
      <c r="D38" s="94">
        <f>33359.16</f>
        <v>33359.160000000003</v>
      </c>
      <c r="E38" s="94">
        <f>30420.67</f>
        <v>30420.67</v>
      </c>
      <c r="F38" s="94">
        <f>32703.17</f>
        <v>32703.17</v>
      </c>
      <c r="G38" s="94">
        <f t="shared" si="1"/>
        <v>156100.69</v>
      </c>
    </row>
    <row r="39" spans="1:7" x14ac:dyDescent="0.35">
      <c r="A39" s="92" t="s">
        <v>348</v>
      </c>
      <c r="B39" s="94">
        <f>1855.75</f>
        <v>1855.75</v>
      </c>
      <c r="C39" s="94">
        <f>2745.58</f>
        <v>2745.58</v>
      </c>
      <c r="D39" s="94">
        <f>2058.9</f>
        <v>2058.9</v>
      </c>
      <c r="E39" s="94">
        <f>3224.62</f>
        <v>3224.62</v>
      </c>
      <c r="F39" s="94">
        <f>2624.52</f>
        <v>2624.52</v>
      </c>
      <c r="G39" s="94">
        <f t="shared" si="1"/>
        <v>12509.369999999999</v>
      </c>
    </row>
    <row r="40" spans="1:7" x14ac:dyDescent="0.35">
      <c r="A40" s="92" t="s">
        <v>349</v>
      </c>
      <c r="B40" s="94">
        <f>2798.82</f>
        <v>2798.82</v>
      </c>
      <c r="C40" s="94">
        <f>2851.92</f>
        <v>2851.92</v>
      </c>
      <c r="D40" s="94">
        <f>3074.41</f>
        <v>3074.41</v>
      </c>
      <c r="E40" s="94">
        <f>3021.55</f>
        <v>3021.55</v>
      </c>
      <c r="F40" s="94">
        <f>3019.57</f>
        <v>3019.57</v>
      </c>
      <c r="G40" s="94">
        <f t="shared" si="1"/>
        <v>14766.27</v>
      </c>
    </row>
    <row r="41" spans="1:7" x14ac:dyDescent="0.35">
      <c r="A41" s="92" t="s">
        <v>350</v>
      </c>
      <c r="B41" s="94">
        <f>1002.17</f>
        <v>1002.17</v>
      </c>
      <c r="C41" s="94">
        <f>876.38</f>
        <v>876.38</v>
      </c>
      <c r="D41" s="94">
        <f>996.15</f>
        <v>996.15</v>
      </c>
      <c r="E41" s="94">
        <f>908.14</f>
        <v>908.14</v>
      </c>
      <c r="F41" s="94">
        <f>976.31</f>
        <v>976.31</v>
      </c>
      <c r="G41" s="94">
        <f t="shared" si="1"/>
        <v>4759.1499999999996</v>
      </c>
    </row>
    <row r="42" spans="1:7" x14ac:dyDescent="0.35">
      <c r="A42" s="92" t="s">
        <v>351</v>
      </c>
      <c r="B42" s="94">
        <f>170.75</f>
        <v>170.75</v>
      </c>
      <c r="C42" s="94">
        <f>229.5</f>
        <v>229.5</v>
      </c>
      <c r="D42" s="94">
        <f>297</f>
        <v>297</v>
      </c>
      <c r="E42" s="94">
        <f>1000.35</f>
        <v>1000.35</v>
      </c>
      <c r="F42" s="94">
        <f>297</f>
        <v>297</v>
      </c>
      <c r="G42" s="94">
        <f t="shared" si="1"/>
        <v>1994.6</v>
      </c>
    </row>
    <row r="43" spans="1:7" x14ac:dyDescent="0.35">
      <c r="A43" s="92" t="s">
        <v>352</v>
      </c>
      <c r="B43" s="96">
        <f>(((((B37)+(B38))+(B39))+(B40))+(B41))+(B42)</f>
        <v>36232.61</v>
      </c>
      <c r="C43" s="96">
        <f>(((((C37)+(C38))+(C39))+(C40))+(C41))+(C42)</f>
        <v>35915.949999999997</v>
      </c>
      <c r="D43" s="96">
        <f>(((((D37)+(D38))+(D39))+(D40))+(D41))+(D42)</f>
        <v>39785.620000000003</v>
      </c>
      <c r="E43" s="96">
        <f>(((((E37)+(E38))+(E39))+(E40))+(E41))+(E42)</f>
        <v>38575.33</v>
      </c>
      <c r="F43" s="96">
        <f>(((((F37)+(F38))+(F39))+(F40))+(F41))+(F42)</f>
        <v>39620.569999999992</v>
      </c>
      <c r="G43" s="96">
        <f t="shared" si="1"/>
        <v>190130.08000000002</v>
      </c>
    </row>
    <row r="44" spans="1:7" x14ac:dyDescent="0.35">
      <c r="A44" s="92" t="s">
        <v>353</v>
      </c>
      <c r="B44" s="93"/>
      <c r="C44" s="93"/>
      <c r="D44" s="93"/>
      <c r="E44" s="93"/>
      <c r="F44" s="93"/>
      <c r="G44" s="94">
        <f t="shared" si="1"/>
        <v>0</v>
      </c>
    </row>
    <row r="45" spans="1:7" x14ac:dyDescent="0.35">
      <c r="A45" s="92" t="s">
        <v>453</v>
      </c>
      <c r="B45" s="93"/>
      <c r="C45" s="93"/>
      <c r="D45" s="94">
        <f>175</f>
        <v>175</v>
      </c>
      <c r="E45" s="93"/>
      <c r="F45" s="93"/>
      <c r="G45" s="94">
        <f t="shared" si="1"/>
        <v>175</v>
      </c>
    </row>
    <row r="46" spans="1:7" x14ac:dyDescent="0.35">
      <c r="A46" s="92" t="s">
        <v>354</v>
      </c>
      <c r="B46" s="94">
        <f>6660</f>
        <v>6660</v>
      </c>
      <c r="C46" s="94">
        <f>6660</f>
        <v>6660</v>
      </c>
      <c r="D46" s="94">
        <f>6660</f>
        <v>6660</v>
      </c>
      <c r="E46" s="94">
        <f>6660</f>
        <v>6660</v>
      </c>
      <c r="F46" s="94">
        <f>6660</f>
        <v>6660</v>
      </c>
      <c r="G46" s="94">
        <f t="shared" si="1"/>
        <v>33300</v>
      </c>
    </row>
    <row r="47" spans="1:7" x14ac:dyDescent="0.35">
      <c r="A47" s="92" t="s">
        <v>356</v>
      </c>
      <c r="B47" s="94">
        <f>9486</f>
        <v>9486</v>
      </c>
      <c r="C47" s="94">
        <f>9727.6</f>
        <v>9727.6</v>
      </c>
      <c r="D47" s="94">
        <f>6350.55</f>
        <v>6350.55</v>
      </c>
      <c r="E47" s="94">
        <f>5191.06</f>
        <v>5191.0600000000004</v>
      </c>
      <c r="F47" s="94">
        <f>3833.92</f>
        <v>3833.92</v>
      </c>
      <c r="G47" s="94">
        <f t="shared" si="1"/>
        <v>34589.129999999997</v>
      </c>
    </row>
    <row r="48" spans="1:7" x14ac:dyDescent="0.35">
      <c r="A48" s="92" t="s">
        <v>357</v>
      </c>
      <c r="B48" s="94">
        <f>85</f>
        <v>85</v>
      </c>
      <c r="C48" s="94">
        <f>85</f>
        <v>85</v>
      </c>
      <c r="D48" s="93"/>
      <c r="E48" s="93"/>
      <c r="F48" s="93"/>
      <c r="G48" s="94">
        <f t="shared" si="1"/>
        <v>170</v>
      </c>
    </row>
    <row r="49" spans="1:7" x14ac:dyDescent="0.35">
      <c r="A49" s="92" t="s">
        <v>358</v>
      </c>
      <c r="B49" s="96">
        <f>((((B44)+(B45))+(B46))+(B47))+(B48)</f>
        <v>16231</v>
      </c>
      <c r="C49" s="96">
        <f>((((C44)+(C45))+(C46))+(C47))+(C48)</f>
        <v>16472.599999999999</v>
      </c>
      <c r="D49" s="96">
        <f>((((D44)+(D45))+(D46))+(D47))+(D48)</f>
        <v>13185.55</v>
      </c>
      <c r="E49" s="96">
        <f>((((E44)+(E45))+(E46))+(E47))+(E48)</f>
        <v>11851.060000000001</v>
      </c>
      <c r="F49" s="96">
        <f>((((F44)+(F45))+(F46))+(F47))+(F48)</f>
        <v>10493.92</v>
      </c>
      <c r="G49" s="96">
        <f t="shared" si="1"/>
        <v>68234.12999999999</v>
      </c>
    </row>
    <row r="50" spans="1:7" x14ac:dyDescent="0.35">
      <c r="A50" s="92" t="s">
        <v>359</v>
      </c>
      <c r="B50" s="93"/>
      <c r="C50" s="93"/>
      <c r="D50" s="93"/>
      <c r="E50" s="93"/>
      <c r="F50" s="93"/>
      <c r="G50" s="94">
        <f t="shared" si="1"/>
        <v>0</v>
      </c>
    </row>
    <row r="51" spans="1:7" x14ac:dyDescent="0.35">
      <c r="A51" s="92" t="s">
        <v>360</v>
      </c>
      <c r="B51" s="94">
        <f>86.72</f>
        <v>86.72</v>
      </c>
      <c r="C51" s="93"/>
      <c r="D51" s="93"/>
      <c r="E51" s="93"/>
      <c r="F51" s="94">
        <f>104.45</f>
        <v>104.45</v>
      </c>
      <c r="G51" s="94">
        <f t="shared" si="1"/>
        <v>191.17000000000002</v>
      </c>
    </row>
    <row r="52" spans="1:7" x14ac:dyDescent="0.35">
      <c r="A52" s="92" t="s">
        <v>361</v>
      </c>
      <c r="B52" s="93"/>
      <c r="C52" s="93"/>
      <c r="D52" s="93"/>
      <c r="E52" s="94">
        <f>797.82</f>
        <v>797.82</v>
      </c>
      <c r="F52" s="93"/>
      <c r="G52" s="94">
        <f t="shared" si="1"/>
        <v>797.82</v>
      </c>
    </row>
    <row r="53" spans="1:7" x14ac:dyDescent="0.35">
      <c r="A53" s="92" t="s">
        <v>363</v>
      </c>
      <c r="B53" s="96">
        <f>((B50)+(B51))+(B52)</f>
        <v>86.72</v>
      </c>
      <c r="C53" s="96">
        <f>((C50)+(C51))+(C52)</f>
        <v>0</v>
      </c>
      <c r="D53" s="96">
        <f>((D50)+(D51))+(D52)</f>
        <v>0</v>
      </c>
      <c r="E53" s="96">
        <f>((E50)+(E51))+(E52)</f>
        <v>797.82</v>
      </c>
      <c r="F53" s="96">
        <f>((F50)+(F51))+(F52)</f>
        <v>104.45</v>
      </c>
      <c r="G53" s="96">
        <f t="shared" si="1"/>
        <v>988.99000000000012</v>
      </c>
    </row>
    <row r="54" spans="1:7" x14ac:dyDescent="0.35">
      <c r="A54" s="92" t="s">
        <v>364</v>
      </c>
      <c r="B54" s="93"/>
      <c r="C54" s="93"/>
      <c r="D54" s="93"/>
      <c r="E54" s="93"/>
      <c r="F54" s="93"/>
      <c r="G54" s="94">
        <f t="shared" si="1"/>
        <v>0</v>
      </c>
    </row>
    <row r="55" spans="1:7" x14ac:dyDescent="0.35">
      <c r="A55" s="92" t="s">
        <v>366</v>
      </c>
      <c r="B55" s="94">
        <f>1702.05</f>
        <v>1702.05</v>
      </c>
      <c r="C55" s="94">
        <f>898.41</f>
        <v>898.41</v>
      </c>
      <c r="D55" s="94">
        <f>1188.54</f>
        <v>1188.54</v>
      </c>
      <c r="E55" s="94">
        <f>153.92</f>
        <v>153.91999999999999</v>
      </c>
      <c r="F55" s="94">
        <f>109.05</f>
        <v>109.05</v>
      </c>
      <c r="G55" s="94">
        <f t="shared" si="1"/>
        <v>4051.9700000000003</v>
      </c>
    </row>
    <row r="56" spans="1:7" x14ac:dyDescent="0.35">
      <c r="A56" s="92" t="s">
        <v>367</v>
      </c>
      <c r="B56" s="94">
        <f>216.8</f>
        <v>216.8</v>
      </c>
      <c r="C56" s="94">
        <f>216.8</f>
        <v>216.8</v>
      </c>
      <c r="D56" s="94">
        <f>289.16</f>
        <v>289.16000000000003</v>
      </c>
      <c r="E56" s="94">
        <f>301.6</f>
        <v>301.60000000000002</v>
      </c>
      <c r="F56" s="94">
        <f>538.66</f>
        <v>538.66</v>
      </c>
      <c r="G56" s="94">
        <f t="shared" si="1"/>
        <v>1563.02</v>
      </c>
    </row>
    <row r="57" spans="1:7" x14ac:dyDescent="0.35">
      <c r="A57" s="92" t="s">
        <v>368</v>
      </c>
      <c r="B57" s="94">
        <f>289</f>
        <v>289</v>
      </c>
      <c r="C57" s="93"/>
      <c r="D57" s="93"/>
      <c r="E57" s="94">
        <f>90</f>
        <v>90</v>
      </c>
      <c r="F57" s="94">
        <f>558</f>
        <v>558</v>
      </c>
      <c r="G57" s="94">
        <f t="shared" si="1"/>
        <v>937</v>
      </c>
    </row>
    <row r="58" spans="1:7" x14ac:dyDescent="0.35">
      <c r="A58" s="92" t="s">
        <v>369</v>
      </c>
      <c r="B58" s="94">
        <f>800</f>
        <v>800</v>
      </c>
      <c r="C58" s="94">
        <f>595</f>
        <v>595</v>
      </c>
      <c r="D58" s="93"/>
      <c r="E58" s="93"/>
      <c r="F58" s="93"/>
      <c r="G58" s="94">
        <f t="shared" si="1"/>
        <v>1395</v>
      </c>
    </row>
    <row r="59" spans="1:7" x14ac:dyDescent="0.35">
      <c r="A59" s="92" t="s">
        <v>371</v>
      </c>
      <c r="B59" s="94">
        <f>304.97</f>
        <v>304.97000000000003</v>
      </c>
      <c r="C59" s="94">
        <f>304.97</f>
        <v>304.97000000000003</v>
      </c>
      <c r="D59" s="94">
        <f>257.48</f>
        <v>257.48</v>
      </c>
      <c r="E59" s="94">
        <f>277.14</f>
        <v>277.14</v>
      </c>
      <c r="F59" s="94">
        <f>289.14</f>
        <v>289.14</v>
      </c>
      <c r="G59" s="94">
        <f t="shared" si="1"/>
        <v>1433.6999999999998</v>
      </c>
    </row>
    <row r="60" spans="1:7" x14ac:dyDescent="0.35">
      <c r="A60" s="92" t="s">
        <v>372</v>
      </c>
      <c r="B60" s="93"/>
      <c r="C60" s="93"/>
      <c r="D60" s="93"/>
      <c r="E60" s="93"/>
      <c r="F60" s="94">
        <f>227.05</f>
        <v>227.05</v>
      </c>
      <c r="G60" s="94">
        <f t="shared" si="1"/>
        <v>227.05</v>
      </c>
    </row>
    <row r="61" spans="1:7" x14ac:dyDescent="0.35">
      <c r="A61" s="92" t="s">
        <v>374</v>
      </c>
      <c r="B61" s="94">
        <f>1344.8</f>
        <v>1344.8</v>
      </c>
      <c r="C61" s="94">
        <f>1344.8</f>
        <v>1344.8</v>
      </c>
      <c r="D61" s="94">
        <f>1344.8</f>
        <v>1344.8</v>
      </c>
      <c r="E61" s="94">
        <f>1344.8</f>
        <v>1344.8</v>
      </c>
      <c r="F61" s="94">
        <f>1344.8</f>
        <v>1344.8</v>
      </c>
      <c r="G61" s="94">
        <f t="shared" si="1"/>
        <v>6724</v>
      </c>
    </row>
    <row r="62" spans="1:7" x14ac:dyDescent="0.35">
      <c r="A62" s="92" t="s">
        <v>375</v>
      </c>
      <c r="B62" s="94">
        <f>2</f>
        <v>2</v>
      </c>
      <c r="C62" s="94">
        <f>575.76</f>
        <v>575.76</v>
      </c>
      <c r="D62" s="94">
        <f>15.95</f>
        <v>15.95</v>
      </c>
      <c r="E62" s="93"/>
      <c r="F62" s="93"/>
      <c r="G62" s="94">
        <f t="shared" si="1"/>
        <v>593.71</v>
      </c>
    </row>
    <row r="63" spans="1:7" x14ac:dyDescent="0.35">
      <c r="A63" s="92" t="s">
        <v>376</v>
      </c>
      <c r="B63" s="94">
        <f>15</f>
        <v>15</v>
      </c>
      <c r="C63" s="94">
        <f>38.32</f>
        <v>38.32</v>
      </c>
      <c r="D63" s="94">
        <f>85</f>
        <v>85</v>
      </c>
      <c r="E63" s="94">
        <f>123.32</f>
        <v>123.32</v>
      </c>
      <c r="F63" s="94">
        <f>165</f>
        <v>165</v>
      </c>
      <c r="G63" s="94">
        <f t="shared" si="1"/>
        <v>426.64</v>
      </c>
    </row>
    <row r="64" spans="1:7" x14ac:dyDescent="0.35">
      <c r="A64" s="92" t="s">
        <v>377</v>
      </c>
      <c r="B64" s="94">
        <f>2.52</f>
        <v>2.52</v>
      </c>
      <c r="C64" s="94">
        <f>3.2</f>
        <v>3.2</v>
      </c>
      <c r="D64" s="94">
        <f>2.56</f>
        <v>2.56</v>
      </c>
      <c r="E64" s="94">
        <f>16</f>
        <v>16</v>
      </c>
      <c r="F64" s="94">
        <f>10.88</f>
        <v>10.88</v>
      </c>
      <c r="G64" s="94">
        <f t="shared" si="1"/>
        <v>35.160000000000004</v>
      </c>
    </row>
    <row r="65" spans="1:7" x14ac:dyDescent="0.35">
      <c r="A65" s="92" t="s">
        <v>379</v>
      </c>
      <c r="B65" s="94">
        <f>1026.92</f>
        <v>1026.92</v>
      </c>
      <c r="C65" s="94">
        <f>1026.92</f>
        <v>1026.92</v>
      </c>
      <c r="D65" s="94">
        <f>1026.92</f>
        <v>1026.92</v>
      </c>
      <c r="E65" s="94">
        <f>1026.92</f>
        <v>1026.92</v>
      </c>
      <c r="F65" s="94">
        <f>1026.92</f>
        <v>1026.92</v>
      </c>
      <c r="G65" s="94">
        <f t="shared" si="1"/>
        <v>5134.6000000000004</v>
      </c>
    </row>
    <row r="66" spans="1:7" x14ac:dyDescent="0.35">
      <c r="A66" s="92" t="s">
        <v>380</v>
      </c>
      <c r="B66" s="96">
        <f>(((((((((((B54)+(B55))+(B56))+(B57))+(B58))+(B59))+(B60))+(B61))+(B62))+(B63))+(B64))+(B65)</f>
        <v>5704.06</v>
      </c>
      <c r="C66" s="96">
        <f>(((((((((((C54)+(C55))+(C56))+(C57))+(C58))+(C59))+(C60))+(C61))+(C62))+(C63))+(C64))+(C65)</f>
        <v>5004.18</v>
      </c>
      <c r="D66" s="96">
        <f>(((((((((((D54)+(D55))+(D56))+(D57))+(D58))+(D59))+(D60))+(D61))+(D62))+(D63))+(D64))+(D65)</f>
        <v>4210.41</v>
      </c>
      <c r="E66" s="96">
        <f>(((((((((((E54)+(E55))+(E56))+(E57))+(E58))+(E59))+(E60))+(E61))+(E62))+(E63))+(E64))+(E65)</f>
        <v>3333.7000000000003</v>
      </c>
      <c r="F66" s="96">
        <f>(((((((((((F54)+(F55))+(F56))+(F57))+(F58))+(F59))+(F60))+(F61))+(F62))+(F63))+(F64))+(F65)</f>
        <v>4269.5</v>
      </c>
      <c r="G66" s="96">
        <f t="shared" si="1"/>
        <v>22521.850000000002</v>
      </c>
    </row>
    <row r="67" spans="1:7" x14ac:dyDescent="0.35">
      <c r="A67" s="92" t="s">
        <v>176</v>
      </c>
      <c r="B67" s="96">
        <f>((((B36)+(B43))+(B49))+(B53))+(B66)</f>
        <v>62691.89</v>
      </c>
      <c r="C67" s="96">
        <f>((((C36)+(C43))+(C49))+(C53))+(C66)</f>
        <v>58805.229999999996</v>
      </c>
      <c r="D67" s="96">
        <f>((((D36)+(D43))+(D49))+(D53))+(D66)</f>
        <v>58844.08</v>
      </c>
      <c r="E67" s="96">
        <f>((((E36)+(E43))+(E49))+(E53))+(E66)</f>
        <v>59303.18</v>
      </c>
      <c r="F67" s="96">
        <f>((((F36)+(F43))+(F49))+(F53))+(F66)</f>
        <v>56718.939999999988</v>
      </c>
      <c r="G67" s="96">
        <f t="shared" si="1"/>
        <v>296363.32</v>
      </c>
    </row>
    <row r="68" spans="1:7" x14ac:dyDescent="0.35">
      <c r="A68" s="92" t="s">
        <v>177</v>
      </c>
      <c r="B68" s="96">
        <f>(B30)-(B67)</f>
        <v>-4091.7299999999959</v>
      </c>
      <c r="C68" s="96">
        <f>(C30)-(C67)</f>
        <v>-5048.4400000000023</v>
      </c>
      <c r="D68" s="96">
        <f>(D30)-(D67)</f>
        <v>-17792.97</v>
      </c>
      <c r="E68" s="96">
        <f>(E30)-(E67)</f>
        <v>-12718.43</v>
      </c>
      <c r="F68" s="96">
        <f>(F30)-(F67)</f>
        <v>-10968.709999999992</v>
      </c>
      <c r="G68" s="96">
        <f t="shared" si="1"/>
        <v>-50620.279999999992</v>
      </c>
    </row>
    <row r="69" spans="1:7" x14ac:dyDescent="0.35">
      <c r="A69" s="92" t="s">
        <v>178</v>
      </c>
      <c r="B69" s="93"/>
      <c r="C69" s="93"/>
      <c r="D69" s="93"/>
      <c r="E69" s="93"/>
      <c r="F69" s="93"/>
      <c r="G69" s="93"/>
    </row>
    <row r="70" spans="1:7" x14ac:dyDescent="0.35">
      <c r="A70" s="92" t="s">
        <v>381</v>
      </c>
      <c r="B70" s="94">
        <f>0</f>
        <v>0</v>
      </c>
      <c r="C70" s="94">
        <f>0</f>
        <v>0</v>
      </c>
      <c r="D70" s="94">
        <f>0</f>
        <v>0</v>
      </c>
      <c r="E70" s="94">
        <f>0</f>
        <v>0</v>
      </c>
      <c r="F70" s="94">
        <f>0</f>
        <v>0</v>
      </c>
      <c r="G70" s="94">
        <f>((((B70)+(C70))+(D70))+(E70))+(F70)</f>
        <v>0</v>
      </c>
    </row>
    <row r="71" spans="1:7" x14ac:dyDescent="0.35">
      <c r="A71" s="92" t="s">
        <v>382</v>
      </c>
      <c r="B71" s="94">
        <f>886.56</f>
        <v>886.56</v>
      </c>
      <c r="C71" s="94">
        <f>1052.98</f>
        <v>1052.98</v>
      </c>
      <c r="D71" s="94">
        <f>949.05</f>
        <v>949.05</v>
      </c>
      <c r="E71" s="94">
        <f>946.12</f>
        <v>946.12</v>
      </c>
      <c r="F71" s="94">
        <f>721.17</f>
        <v>721.17</v>
      </c>
      <c r="G71" s="94">
        <f>((((B71)+(C71))+(D71))+(E71))+(F71)</f>
        <v>4555.88</v>
      </c>
    </row>
    <row r="72" spans="1:7" x14ac:dyDescent="0.35">
      <c r="A72" s="92" t="s">
        <v>383</v>
      </c>
      <c r="B72" s="94">
        <f>-1017.39</f>
        <v>-1017.39</v>
      </c>
      <c r="C72" s="94">
        <f>14010.45</f>
        <v>14010.45</v>
      </c>
      <c r="D72" s="94">
        <f>18430.7</f>
        <v>18430.7</v>
      </c>
      <c r="E72" s="126">
        <f>-17549.24</f>
        <v>-17549.240000000002</v>
      </c>
      <c r="F72" s="94">
        <f>17061.21</f>
        <v>17061.21</v>
      </c>
      <c r="G72" s="94">
        <f>((((B72)+(C72))+(D72))+(E72))+(F72)</f>
        <v>30935.73</v>
      </c>
    </row>
    <row r="73" spans="1:7" x14ac:dyDescent="0.35">
      <c r="A73" s="92" t="s">
        <v>180</v>
      </c>
      <c r="B73" s="96">
        <f>((B70)+(B71))+(B72)</f>
        <v>-130.83000000000004</v>
      </c>
      <c r="C73" s="96">
        <f>((C70)+(C71))+(C72)</f>
        <v>15063.43</v>
      </c>
      <c r="D73" s="96">
        <f>((D70)+(D71))+(D72)</f>
        <v>19379.75</v>
      </c>
      <c r="E73" s="96">
        <f>((E70)+(E71))+(E72)</f>
        <v>-16603.120000000003</v>
      </c>
      <c r="F73" s="96">
        <f>((F70)+(F71))+(F72)</f>
        <v>17782.379999999997</v>
      </c>
      <c r="G73" s="96">
        <f>((((B73)+(C73))+(D73))+(E73))+(F73)</f>
        <v>35491.609999999993</v>
      </c>
    </row>
    <row r="74" spans="1:7" x14ac:dyDescent="0.35">
      <c r="A74" s="92" t="s">
        <v>181</v>
      </c>
      <c r="B74" s="93"/>
      <c r="C74" s="93"/>
      <c r="D74" s="93"/>
      <c r="E74" s="93"/>
      <c r="F74" s="93"/>
      <c r="G74" s="93"/>
    </row>
    <row r="75" spans="1:7" x14ac:dyDescent="0.35">
      <c r="A75" s="92" t="s">
        <v>385</v>
      </c>
      <c r="B75" s="94">
        <f>577.94</f>
        <v>577.94000000000005</v>
      </c>
      <c r="C75" s="94">
        <f>508.69</f>
        <v>508.69</v>
      </c>
      <c r="D75" s="94">
        <f>314.43</f>
        <v>314.43</v>
      </c>
      <c r="E75" s="94">
        <f>335.36</f>
        <v>335.36</v>
      </c>
      <c r="F75" s="94">
        <f>323.85</f>
        <v>323.85000000000002</v>
      </c>
      <c r="G75" s="94">
        <f>((((B75)+(C75))+(D75))+(E75))+(F75)</f>
        <v>2060.27</v>
      </c>
    </row>
    <row r="76" spans="1:7" x14ac:dyDescent="0.35">
      <c r="A76" s="92" t="s">
        <v>182</v>
      </c>
      <c r="B76" s="96">
        <f>B75</f>
        <v>577.94000000000005</v>
      </c>
      <c r="C76" s="96">
        <f>C75</f>
        <v>508.69</v>
      </c>
      <c r="D76" s="96">
        <f>D75</f>
        <v>314.43</v>
      </c>
      <c r="E76" s="96">
        <f>E75</f>
        <v>335.36</v>
      </c>
      <c r="F76" s="96">
        <f>F75</f>
        <v>323.85000000000002</v>
      </c>
      <c r="G76" s="96">
        <f>((((B76)+(C76))+(D76))+(E76))+(F76)</f>
        <v>2060.27</v>
      </c>
    </row>
    <row r="77" spans="1:7" x14ac:dyDescent="0.35">
      <c r="A77" s="92" t="s">
        <v>183</v>
      </c>
      <c r="B77" s="96">
        <f>(B73)-(B76)</f>
        <v>-708.7700000000001</v>
      </c>
      <c r="C77" s="96">
        <f>(C73)-(C76)</f>
        <v>14554.74</v>
      </c>
      <c r="D77" s="96">
        <f>(D73)-(D76)</f>
        <v>19065.32</v>
      </c>
      <c r="E77" s="96">
        <f>(E73)-(E76)</f>
        <v>-16938.480000000003</v>
      </c>
      <c r="F77" s="96">
        <f>(F73)-(F76)</f>
        <v>17458.53</v>
      </c>
      <c r="G77" s="96">
        <f>((((B77)+(C77))+(D77))+(E77))+(F77)</f>
        <v>33431.339999999997</v>
      </c>
    </row>
    <row r="78" spans="1:7" x14ac:dyDescent="0.35">
      <c r="A78" s="92" t="s">
        <v>184</v>
      </c>
      <c r="B78" s="96">
        <f>(B68)+(B77)</f>
        <v>-4800.4999999999964</v>
      </c>
      <c r="C78" s="96">
        <f>(C68)+(C77)</f>
        <v>9506.2999999999975</v>
      </c>
      <c r="D78" s="96">
        <f>(D68)+(D77)</f>
        <v>1272.3499999999985</v>
      </c>
      <c r="E78" s="96">
        <f>(E68)+(E77)</f>
        <v>-29656.910000000003</v>
      </c>
      <c r="F78" s="96">
        <f>(F68)+(F77)</f>
        <v>6489.820000000007</v>
      </c>
      <c r="G78" s="96">
        <f>((((B78)+(C78))+(D78))+(E78))+(F78)</f>
        <v>-17188.939999999995</v>
      </c>
    </row>
  </sheetData>
  <mergeCells count="3">
    <mergeCell ref="A1:G1"/>
    <mergeCell ref="A2:G2"/>
    <mergeCell ref="A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C846F-CB2D-4F21-B4F3-EE8AD9458185}">
  <sheetPr>
    <tabColor theme="9" tint="0.79998168889431442"/>
  </sheetPr>
  <dimension ref="A1:L78"/>
  <sheetViews>
    <sheetView workbookViewId="0">
      <selection activeCell="M10" sqref="M10"/>
    </sheetView>
  </sheetViews>
  <sheetFormatPr defaultRowHeight="14.5" x14ac:dyDescent="0.35"/>
  <cols>
    <col min="1" max="1" width="39.54296875" bestFit="1" customWidth="1"/>
    <col min="2" max="12" width="13.26953125" customWidth="1"/>
  </cols>
  <sheetData>
    <row r="1" spans="1:12" ht="18" x14ac:dyDescent="0.4">
      <c r="A1" s="119" t="s">
        <v>172</v>
      </c>
      <c r="B1" s="115"/>
      <c r="C1" s="115"/>
      <c r="D1" s="115"/>
      <c r="E1" s="115"/>
      <c r="F1" s="115"/>
      <c r="G1" s="115"/>
      <c r="H1" s="115"/>
      <c r="I1" s="115"/>
      <c r="J1" s="115"/>
      <c r="K1" s="115"/>
      <c r="L1" s="115"/>
    </row>
    <row r="2" spans="1:12" ht="18" x14ac:dyDescent="0.4">
      <c r="A2" s="119" t="s">
        <v>205</v>
      </c>
      <c r="B2" s="115"/>
      <c r="C2" s="115"/>
      <c r="D2" s="115"/>
      <c r="E2" s="115"/>
      <c r="F2" s="115"/>
      <c r="G2" s="115"/>
      <c r="H2" s="115"/>
      <c r="I2" s="115"/>
      <c r="J2" s="115"/>
      <c r="K2" s="115"/>
      <c r="L2" s="115"/>
    </row>
    <row r="3" spans="1:12" x14ac:dyDescent="0.35">
      <c r="A3" s="120" t="s">
        <v>460</v>
      </c>
      <c r="B3" s="115"/>
      <c r="C3" s="115"/>
      <c r="D3" s="115"/>
      <c r="E3" s="115"/>
      <c r="F3" s="115"/>
      <c r="G3" s="115"/>
      <c r="H3" s="115"/>
      <c r="I3" s="115"/>
      <c r="J3" s="115"/>
      <c r="K3" s="115"/>
      <c r="L3" s="115"/>
    </row>
    <row r="5" spans="1:12" ht="24" x14ac:dyDescent="0.35">
      <c r="A5" s="1"/>
      <c r="B5" s="91" t="s">
        <v>122</v>
      </c>
      <c r="C5" s="91" t="s">
        <v>206</v>
      </c>
      <c r="D5" s="91" t="s">
        <v>207</v>
      </c>
      <c r="E5" s="91" t="s">
        <v>461</v>
      </c>
      <c r="F5" s="91" t="s">
        <v>314</v>
      </c>
      <c r="G5" s="91" t="s">
        <v>208</v>
      </c>
      <c r="H5" s="91" t="s">
        <v>209</v>
      </c>
      <c r="I5" s="91" t="s">
        <v>210</v>
      </c>
      <c r="J5" s="91" t="s">
        <v>211</v>
      </c>
      <c r="K5" s="91" t="s">
        <v>212</v>
      </c>
      <c r="L5" s="91" t="s">
        <v>121</v>
      </c>
    </row>
    <row r="6" spans="1:12" x14ac:dyDescent="0.35">
      <c r="A6" s="92" t="s">
        <v>173</v>
      </c>
      <c r="B6" s="93"/>
      <c r="C6" s="93"/>
      <c r="D6" s="93"/>
      <c r="E6" s="93"/>
      <c r="F6" s="93"/>
      <c r="G6" s="93"/>
      <c r="H6" s="93"/>
      <c r="I6" s="93"/>
      <c r="J6" s="93"/>
      <c r="K6" s="93"/>
      <c r="L6" s="93"/>
    </row>
    <row r="7" spans="1:12" x14ac:dyDescent="0.35">
      <c r="A7" s="92" t="s">
        <v>315</v>
      </c>
      <c r="B7" s="93"/>
      <c r="C7" s="93"/>
      <c r="D7" s="93"/>
      <c r="E7" s="93"/>
      <c r="F7" s="93"/>
      <c r="G7" s="93"/>
      <c r="H7" s="93"/>
      <c r="I7" s="94">
        <f t="shared" ref="I7:I30" si="0">(G7)+(H7)</f>
        <v>0</v>
      </c>
      <c r="J7" s="94">
        <f t="shared" ref="J7:J30" si="1">((((C7)+(D7))+(E7))+(F7))+(I7)</f>
        <v>0</v>
      </c>
      <c r="K7" s="93"/>
      <c r="L7" s="94">
        <f t="shared" ref="L7:L30" si="2">((B7)+(J7))+(K7)</f>
        <v>0</v>
      </c>
    </row>
    <row r="8" spans="1:12" x14ac:dyDescent="0.35">
      <c r="A8" s="92" t="s">
        <v>316</v>
      </c>
      <c r="B8" s="93"/>
      <c r="C8" s="93"/>
      <c r="D8" s="93"/>
      <c r="E8" s="93"/>
      <c r="F8" s="93"/>
      <c r="G8" s="93"/>
      <c r="H8" s="93"/>
      <c r="I8" s="94">
        <f t="shared" si="0"/>
        <v>0</v>
      </c>
      <c r="J8" s="94">
        <f t="shared" si="1"/>
        <v>0</v>
      </c>
      <c r="K8" s="94">
        <f>4812.9</f>
        <v>4812.8999999999996</v>
      </c>
      <c r="L8" s="94">
        <f t="shared" si="2"/>
        <v>4812.8999999999996</v>
      </c>
    </row>
    <row r="9" spans="1:12" x14ac:dyDescent="0.35">
      <c r="A9" s="92" t="s">
        <v>317</v>
      </c>
      <c r="B9" s="93"/>
      <c r="C9" s="93"/>
      <c r="D9" s="93"/>
      <c r="E9" s="93"/>
      <c r="F9" s="93"/>
      <c r="G9" s="93"/>
      <c r="H9" s="93"/>
      <c r="I9" s="94">
        <f t="shared" si="0"/>
        <v>0</v>
      </c>
      <c r="J9" s="94">
        <f t="shared" si="1"/>
        <v>0</v>
      </c>
      <c r="K9" s="94">
        <f>51058.39</f>
        <v>51058.39</v>
      </c>
      <c r="L9" s="94">
        <f t="shared" si="2"/>
        <v>51058.39</v>
      </c>
    </row>
    <row r="10" spans="1:12" x14ac:dyDescent="0.35">
      <c r="A10" s="92" t="s">
        <v>318</v>
      </c>
      <c r="B10" s="93"/>
      <c r="C10" s="93"/>
      <c r="D10" s="93"/>
      <c r="E10" s="93"/>
      <c r="F10" s="93"/>
      <c r="G10" s="93"/>
      <c r="H10" s="93"/>
      <c r="I10" s="94">
        <f t="shared" si="0"/>
        <v>0</v>
      </c>
      <c r="J10" s="94">
        <f t="shared" si="1"/>
        <v>0</v>
      </c>
      <c r="K10" s="94">
        <f>38403.28</f>
        <v>38403.279999999999</v>
      </c>
      <c r="L10" s="94">
        <f t="shared" si="2"/>
        <v>38403.279999999999</v>
      </c>
    </row>
    <row r="11" spans="1:12" x14ac:dyDescent="0.35">
      <c r="A11" s="92" t="s">
        <v>319</v>
      </c>
      <c r="B11" s="93"/>
      <c r="C11" s="93"/>
      <c r="D11" s="93"/>
      <c r="E11" s="93"/>
      <c r="F11" s="93"/>
      <c r="G11" s="93"/>
      <c r="H11" s="93"/>
      <c r="I11" s="94">
        <f t="shared" si="0"/>
        <v>0</v>
      </c>
      <c r="J11" s="94">
        <f t="shared" si="1"/>
        <v>0</v>
      </c>
      <c r="K11" s="94">
        <f>44502.6</f>
        <v>44502.6</v>
      </c>
      <c r="L11" s="94">
        <f t="shared" si="2"/>
        <v>44502.6</v>
      </c>
    </row>
    <row r="12" spans="1:12" x14ac:dyDescent="0.35">
      <c r="A12" s="92" t="s">
        <v>320</v>
      </c>
      <c r="B12" s="93"/>
      <c r="C12" s="93"/>
      <c r="D12" s="93"/>
      <c r="E12" s="93"/>
      <c r="F12" s="93"/>
      <c r="G12" s="93"/>
      <c r="H12" s="93"/>
      <c r="I12" s="94">
        <f t="shared" si="0"/>
        <v>0</v>
      </c>
      <c r="J12" s="94">
        <f t="shared" si="1"/>
        <v>0</v>
      </c>
      <c r="K12" s="94">
        <f>19843.75</f>
        <v>19843.75</v>
      </c>
      <c r="L12" s="94">
        <f t="shared" si="2"/>
        <v>19843.75</v>
      </c>
    </row>
    <row r="13" spans="1:12" x14ac:dyDescent="0.35">
      <c r="A13" s="92" t="s">
        <v>321</v>
      </c>
      <c r="B13" s="93"/>
      <c r="C13" s="93"/>
      <c r="D13" s="93"/>
      <c r="E13" s="93"/>
      <c r="F13" s="93"/>
      <c r="G13" s="93"/>
      <c r="H13" s="93"/>
      <c r="I13" s="94">
        <f t="shared" si="0"/>
        <v>0</v>
      </c>
      <c r="J13" s="94">
        <f t="shared" si="1"/>
        <v>0</v>
      </c>
      <c r="K13" s="94">
        <f>31697.5</f>
        <v>31697.5</v>
      </c>
      <c r="L13" s="94">
        <f t="shared" si="2"/>
        <v>31697.5</v>
      </c>
    </row>
    <row r="14" spans="1:12" x14ac:dyDescent="0.35">
      <c r="A14" s="92" t="s">
        <v>322</v>
      </c>
      <c r="B14" s="93"/>
      <c r="C14" s="93"/>
      <c r="D14" s="93"/>
      <c r="E14" s="93"/>
      <c r="F14" s="93"/>
      <c r="G14" s="93"/>
      <c r="H14" s="93"/>
      <c r="I14" s="94">
        <f t="shared" si="0"/>
        <v>0</v>
      </c>
      <c r="J14" s="94">
        <f t="shared" si="1"/>
        <v>0</v>
      </c>
      <c r="K14" s="94">
        <f>7315</f>
        <v>7315</v>
      </c>
      <c r="L14" s="94">
        <f t="shared" si="2"/>
        <v>7315</v>
      </c>
    </row>
    <row r="15" spans="1:12" x14ac:dyDescent="0.35">
      <c r="A15" s="92" t="s">
        <v>323</v>
      </c>
      <c r="B15" s="93"/>
      <c r="C15" s="93"/>
      <c r="D15" s="93"/>
      <c r="E15" s="93"/>
      <c r="F15" s="93"/>
      <c r="G15" s="93"/>
      <c r="H15" s="93"/>
      <c r="I15" s="94">
        <f t="shared" si="0"/>
        <v>0</v>
      </c>
      <c r="J15" s="94">
        <f t="shared" si="1"/>
        <v>0</v>
      </c>
      <c r="K15" s="94">
        <f>7427.1</f>
        <v>7427.1</v>
      </c>
      <c r="L15" s="94">
        <f t="shared" si="2"/>
        <v>7427.1</v>
      </c>
    </row>
    <row r="16" spans="1:12" x14ac:dyDescent="0.35">
      <c r="A16" s="92" t="s">
        <v>450</v>
      </c>
      <c r="B16" s="93"/>
      <c r="C16" s="93"/>
      <c r="D16" s="93"/>
      <c r="E16" s="93"/>
      <c r="F16" s="93"/>
      <c r="G16" s="93"/>
      <c r="H16" s="93"/>
      <c r="I16" s="94">
        <f t="shared" si="0"/>
        <v>0</v>
      </c>
      <c r="J16" s="94">
        <f t="shared" si="1"/>
        <v>0</v>
      </c>
      <c r="K16" s="94">
        <f>345.85</f>
        <v>345.85</v>
      </c>
      <c r="L16" s="94">
        <f t="shared" si="2"/>
        <v>345.85</v>
      </c>
    </row>
    <row r="17" spans="1:12" x14ac:dyDescent="0.35">
      <c r="A17" s="92" t="s">
        <v>324</v>
      </c>
      <c r="B17" s="96">
        <f t="shared" ref="B17:H17" si="3">(((((((((B7)+(B8))+(B9))+(B10))+(B11))+(B12))+(B13))+(B14))+(B15))+(B16)</f>
        <v>0</v>
      </c>
      <c r="C17" s="96">
        <f t="shared" si="3"/>
        <v>0</v>
      </c>
      <c r="D17" s="96">
        <f t="shared" si="3"/>
        <v>0</v>
      </c>
      <c r="E17" s="96">
        <f t="shared" si="3"/>
        <v>0</v>
      </c>
      <c r="F17" s="96">
        <f t="shared" si="3"/>
        <v>0</v>
      </c>
      <c r="G17" s="96">
        <f t="shared" si="3"/>
        <v>0</v>
      </c>
      <c r="H17" s="96">
        <f t="shared" si="3"/>
        <v>0</v>
      </c>
      <c r="I17" s="96">
        <f t="shared" si="0"/>
        <v>0</v>
      </c>
      <c r="J17" s="96">
        <f t="shared" si="1"/>
        <v>0</v>
      </c>
      <c r="K17" s="96">
        <f>(((((((((K7)+(K8))+(K9))+(K10))+(K11))+(K12))+(K13))+(K14))+(K15))+(K16)</f>
        <v>205406.37000000002</v>
      </c>
      <c r="L17" s="96">
        <f t="shared" si="2"/>
        <v>205406.37000000002</v>
      </c>
    </row>
    <row r="18" spans="1:12" x14ac:dyDescent="0.35">
      <c r="A18" s="92" t="s">
        <v>325</v>
      </c>
      <c r="B18" s="93"/>
      <c r="C18" s="93"/>
      <c r="D18" s="93"/>
      <c r="E18" s="93"/>
      <c r="F18" s="93"/>
      <c r="G18" s="93"/>
      <c r="H18" s="93"/>
      <c r="I18" s="94">
        <f t="shared" si="0"/>
        <v>0</v>
      </c>
      <c r="J18" s="94">
        <f t="shared" si="1"/>
        <v>0</v>
      </c>
      <c r="K18" s="93"/>
      <c r="L18" s="94">
        <f t="shared" si="2"/>
        <v>0</v>
      </c>
    </row>
    <row r="19" spans="1:12" x14ac:dyDescent="0.35">
      <c r="A19" s="92" t="s">
        <v>330</v>
      </c>
      <c r="B19" s="93"/>
      <c r="C19" s="93"/>
      <c r="D19" s="93"/>
      <c r="E19" s="93"/>
      <c r="F19" s="93"/>
      <c r="G19" s="93"/>
      <c r="H19" s="93"/>
      <c r="I19" s="94">
        <f t="shared" si="0"/>
        <v>0</v>
      </c>
      <c r="J19" s="94">
        <f t="shared" si="1"/>
        <v>0</v>
      </c>
      <c r="K19" s="93"/>
      <c r="L19" s="94">
        <f t="shared" si="2"/>
        <v>0</v>
      </c>
    </row>
    <row r="20" spans="1:12" x14ac:dyDescent="0.35">
      <c r="A20" s="92" t="s">
        <v>331</v>
      </c>
      <c r="B20" s="93"/>
      <c r="C20" s="93"/>
      <c r="D20" s="93"/>
      <c r="E20" s="94">
        <f>3789</f>
        <v>3789</v>
      </c>
      <c r="F20" s="93"/>
      <c r="G20" s="94">
        <f>14657</f>
        <v>14657</v>
      </c>
      <c r="H20" s="93"/>
      <c r="I20" s="94">
        <f t="shared" si="0"/>
        <v>14657</v>
      </c>
      <c r="J20" s="94">
        <f t="shared" si="1"/>
        <v>18446</v>
      </c>
      <c r="K20" s="93"/>
      <c r="L20" s="94">
        <f t="shared" si="2"/>
        <v>18446</v>
      </c>
    </row>
    <row r="21" spans="1:12" x14ac:dyDescent="0.35">
      <c r="A21" s="92" t="s">
        <v>332</v>
      </c>
      <c r="B21" s="96">
        <f t="shared" ref="B21:H21" si="4">(B19)+(B20)</f>
        <v>0</v>
      </c>
      <c r="C21" s="96">
        <f t="shared" si="4"/>
        <v>0</v>
      </c>
      <c r="D21" s="96">
        <f t="shared" si="4"/>
        <v>0</v>
      </c>
      <c r="E21" s="96">
        <f t="shared" si="4"/>
        <v>3789</v>
      </c>
      <c r="F21" s="96">
        <f t="shared" si="4"/>
        <v>0</v>
      </c>
      <c r="G21" s="96">
        <f t="shared" si="4"/>
        <v>14657</v>
      </c>
      <c r="H21" s="96">
        <f t="shared" si="4"/>
        <v>0</v>
      </c>
      <c r="I21" s="96">
        <f t="shared" si="0"/>
        <v>14657</v>
      </c>
      <c r="J21" s="96">
        <f t="shared" si="1"/>
        <v>18446</v>
      </c>
      <c r="K21" s="96">
        <f>(K19)+(K20)</f>
        <v>0</v>
      </c>
      <c r="L21" s="96">
        <f t="shared" si="2"/>
        <v>18446</v>
      </c>
    </row>
    <row r="22" spans="1:12" x14ac:dyDescent="0.35">
      <c r="A22" s="92" t="s">
        <v>333</v>
      </c>
      <c r="B22" s="96">
        <f t="shared" ref="B22:H22" si="5">(B18)+(B21)</f>
        <v>0</v>
      </c>
      <c r="C22" s="96">
        <f t="shared" si="5"/>
        <v>0</v>
      </c>
      <c r="D22" s="96">
        <f t="shared" si="5"/>
        <v>0</v>
      </c>
      <c r="E22" s="96">
        <f t="shared" si="5"/>
        <v>3789</v>
      </c>
      <c r="F22" s="96">
        <f t="shared" si="5"/>
        <v>0</v>
      </c>
      <c r="G22" s="96">
        <f t="shared" si="5"/>
        <v>14657</v>
      </c>
      <c r="H22" s="96">
        <f t="shared" si="5"/>
        <v>0</v>
      </c>
      <c r="I22" s="96">
        <f t="shared" si="0"/>
        <v>14657</v>
      </c>
      <c r="J22" s="96">
        <f t="shared" si="1"/>
        <v>18446</v>
      </c>
      <c r="K22" s="96">
        <f>(K18)+(K21)</f>
        <v>0</v>
      </c>
      <c r="L22" s="96">
        <f t="shared" si="2"/>
        <v>18446</v>
      </c>
    </row>
    <row r="23" spans="1:12" x14ac:dyDescent="0.35">
      <c r="A23" s="92" t="s">
        <v>334</v>
      </c>
      <c r="B23" s="93"/>
      <c r="C23" s="93"/>
      <c r="D23" s="93"/>
      <c r="E23" s="93"/>
      <c r="F23" s="93"/>
      <c r="G23" s="93"/>
      <c r="H23" s="93"/>
      <c r="I23" s="94">
        <f t="shared" si="0"/>
        <v>0</v>
      </c>
      <c r="J23" s="94">
        <f t="shared" si="1"/>
        <v>0</v>
      </c>
      <c r="K23" s="94">
        <f>20800</f>
        <v>20800</v>
      </c>
      <c r="L23" s="94">
        <f t="shared" si="2"/>
        <v>20800</v>
      </c>
    </row>
    <row r="24" spans="1:12" x14ac:dyDescent="0.35">
      <c r="A24" s="92" t="s">
        <v>335</v>
      </c>
      <c r="B24" s="93"/>
      <c r="C24" s="93"/>
      <c r="D24" s="93"/>
      <c r="E24" s="93"/>
      <c r="F24" s="93"/>
      <c r="G24" s="93"/>
      <c r="H24" s="93"/>
      <c r="I24" s="94">
        <f t="shared" si="0"/>
        <v>0</v>
      </c>
      <c r="J24" s="94">
        <f t="shared" si="1"/>
        <v>0</v>
      </c>
      <c r="K24" s="93"/>
      <c r="L24" s="94">
        <f t="shared" si="2"/>
        <v>0</v>
      </c>
    </row>
    <row r="25" spans="1:12" x14ac:dyDescent="0.35">
      <c r="A25" s="92" t="s">
        <v>337</v>
      </c>
      <c r="B25" s="94">
        <f>163.4</f>
        <v>163.4</v>
      </c>
      <c r="C25" s="93"/>
      <c r="D25" s="93"/>
      <c r="E25" s="93"/>
      <c r="F25" s="93"/>
      <c r="G25" s="93"/>
      <c r="H25" s="93"/>
      <c r="I25" s="94">
        <f t="shared" si="0"/>
        <v>0</v>
      </c>
      <c r="J25" s="94">
        <f t="shared" si="1"/>
        <v>0</v>
      </c>
      <c r="K25" s="93"/>
      <c r="L25" s="94">
        <f t="shared" si="2"/>
        <v>163.4</v>
      </c>
    </row>
    <row r="26" spans="1:12" x14ac:dyDescent="0.35">
      <c r="A26" s="92" t="s">
        <v>338</v>
      </c>
      <c r="B26" s="94">
        <f>877.27</f>
        <v>877.27</v>
      </c>
      <c r="C26" s="93"/>
      <c r="D26" s="93"/>
      <c r="E26" s="93"/>
      <c r="F26" s="93"/>
      <c r="G26" s="93"/>
      <c r="H26" s="93"/>
      <c r="I26" s="94">
        <f t="shared" si="0"/>
        <v>0</v>
      </c>
      <c r="J26" s="94">
        <f t="shared" si="1"/>
        <v>0</v>
      </c>
      <c r="K26" s="93"/>
      <c r="L26" s="94">
        <f t="shared" si="2"/>
        <v>877.27</v>
      </c>
    </row>
    <row r="27" spans="1:12" x14ac:dyDescent="0.35">
      <c r="A27" s="92" t="s">
        <v>340</v>
      </c>
      <c r="B27" s="93"/>
      <c r="C27" s="93"/>
      <c r="D27" s="94">
        <f>25</f>
        <v>25</v>
      </c>
      <c r="E27" s="93"/>
      <c r="F27" s="93"/>
      <c r="G27" s="94">
        <f>25</f>
        <v>25</v>
      </c>
      <c r="H27" s="93"/>
      <c r="I27" s="94">
        <f t="shared" si="0"/>
        <v>25</v>
      </c>
      <c r="J27" s="94">
        <f t="shared" si="1"/>
        <v>50</v>
      </c>
      <c r="K27" s="93"/>
      <c r="L27" s="94">
        <f t="shared" si="2"/>
        <v>50</v>
      </c>
    </row>
    <row r="28" spans="1:12" x14ac:dyDescent="0.35">
      <c r="A28" s="92" t="s">
        <v>341</v>
      </c>
      <c r="B28" s="96">
        <f t="shared" ref="B28:H28" si="6">(((B24)+(B25))+(B26))+(B27)</f>
        <v>1040.67</v>
      </c>
      <c r="C28" s="96">
        <f t="shared" si="6"/>
        <v>0</v>
      </c>
      <c r="D28" s="96">
        <f t="shared" si="6"/>
        <v>25</v>
      </c>
      <c r="E28" s="96">
        <f t="shared" si="6"/>
        <v>0</v>
      </c>
      <c r="F28" s="96">
        <f t="shared" si="6"/>
        <v>0</v>
      </c>
      <c r="G28" s="96">
        <f t="shared" si="6"/>
        <v>25</v>
      </c>
      <c r="H28" s="96">
        <f t="shared" si="6"/>
        <v>0</v>
      </c>
      <c r="I28" s="96">
        <f t="shared" si="0"/>
        <v>25</v>
      </c>
      <c r="J28" s="96">
        <f t="shared" si="1"/>
        <v>50</v>
      </c>
      <c r="K28" s="96">
        <f>(((K24)+(K25))+(K26))+(K27)</f>
        <v>0</v>
      </c>
      <c r="L28" s="96">
        <f t="shared" si="2"/>
        <v>1090.67</v>
      </c>
    </row>
    <row r="29" spans="1:12" x14ac:dyDescent="0.35">
      <c r="A29" s="92" t="s">
        <v>174</v>
      </c>
      <c r="B29" s="96">
        <f t="shared" ref="B29:H29" si="7">(((B17)+(B22))+(B23))+(B28)</f>
        <v>1040.67</v>
      </c>
      <c r="C29" s="96">
        <f t="shared" si="7"/>
        <v>0</v>
      </c>
      <c r="D29" s="96">
        <f t="shared" si="7"/>
        <v>25</v>
      </c>
      <c r="E29" s="96">
        <f t="shared" si="7"/>
        <v>3789</v>
      </c>
      <c r="F29" s="96">
        <f t="shared" si="7"/>
        <v>0</v>
      </c>
      <c r="G29" s="96">
        <f t="shared" si="7"/>
        <v>14682</v>
      </c>
      <c r="H29" s="96">
        <f t="shared" si="7"/>
        <v>0</v>
      </c>
      <c r="I29" s="96">
        <f t="shared" si="0"/>
        <v>14682</v>
      </c>
      <c r="J29" s="96">
        <f t="shared" si="1"/>
        <v>18496</v>
      </c>
      <c r="K29" s="96">
        <f>(((K17)+(K22))+(K23))+(K28)</f>
        <v>226206.37000000002</v>
      </c>
      <c r="L29" s="96">
        <f t="shared" si="2"/>
        <v>245743.04000000004</v>
      </c>
    </row>
    <row r="30" spans="1:12" x14ac:dyDescent="0.35">
      <c r="A30" s="92" t="s">
        <v>20</v>
      </c>
      <c r="B30" s="96">
        <f t="shared" ref="B30:H30" si="8">(B29)-(0)</f>
        <v>1040.67</v>
      </c>
      <c r="C30" s="96">
        <f t="shared" si="8"/>
        <v>0</v>
      </c>
      <c r="D30" s="96">
        <f t="shared" si="8"/>
        <v>25</v>
      </c>
      <c r="E30" s="96">
        <f t="shared" si="8"/>
        <v>3789</v>
      </c>
      <c r="F30" s="96">
        <f t="shared" si="8"/>
        <v>0</v>
      </c>
      <c r="G30" s="96">
        <f t="shared" si="8"/>
        <v>14682</v>
      </c>
      <c r="H30" s="96">
        <f t="shared" si="8"/>
        <v>0</v>
      </c>
      <c r="I30" s="96">
        <f t="shared" si="0"/>
        <v>14682</v>
      </c>
      <c r="J30" s="96">
        <f t="shared" si="1"/>
        <v>18496</v>
      </c>
      <c r="K30" s="96">
        <f>(K29)-(0)</f>
        <v>226206.37000000002</v>
      </c>
      <c r="L30" s="96">
        <f t="shared" si="2"/>
        <v>245743.04000000004</v>
      </c>
    </row>
    <row r="31" spans="1:12" x14ac:dyDescent="0.35">
      <c r="A31" s="92" t="s">
        <v>175</v>
      </c>
      <c r="B31" s="93"/>
      <c r="C31" s="93"/>
      <c r="D31" s="93"/>
      <c r="E31" s="93"/>
      <c r="F31" s="93"/>
      <c r="G31" s="93"/>
      <c r="H31" s="93"/>
      <c r="I31" s="93"/>
      <c r="J31" s="93"/>
      <c r="K31" s="93"/>
      <c r="L31" s="93"/>
    </row>
    <row r="32" spans="1:12" x14ac:dyDescent="0.35">
      <c r="A32" s="92" t="s">
        <v>342</v>
      </c>
      <c r="B32" s="93"/>
      <c r="C32" s="93"/>
      <c r="D32" s="93"/>
      <c r="E32" s="93"/>
      <c r="F32" s="93"/>
      <c r="G32" s="93"/>
      <c r="H32" s="93"/>
      <c r="I32" s="94">
        <f t="shared" ref="I32:I68" si="9">(G32)+(H32)</f>
        <v>0</v>
      </c>
      <c r="J32" s="94">
        <f t="shared" ref="J32:J68" si="10">((((C32)+(D32))+(E32))+(F32))+(I32)</f>
        <v>0</v>
      </c>
      <c r="K32" s="93"/>
      <c r="L32" s="94">
        <f t="shared" ref="L32:L68" si="11">((B32)+(J32))+(K32)</f>
        <v>0</v>
      </c>
    </row>
    <row r="33" spans="1:12" x14ac:dyDescent="0.35">
      <c r="A33" s="92" t="s">
        <v>343</v>
      </c>
      <c r="B33" s="93"/>
      <c r="C33" s="93"/>
      <c r="D33" s="94">
        <f>714.01</f>
        <v>714.01</v>
      </c>
      <c r="E33" s="93"/>
      <c r="F33" s="93"/>
      <c r="G33" s="93"/>
      <c r="H33" s="93"/>
      <c r="I33" s="94">
        <f t="shared" si="9"/>
        <v>0</v>
      </c>
      <c r="J33" s="94">
        <f t="shared" si="10"/>
        <v>714.01</v>
      </c>
      <c r="K33" s="93"/>
      <c r="L33" s="94">
        <f t="shared" si="11"/>
        <v>714.01</v>
      </c>
    </row>
    <row r="34" spans="1:12" x14ac:dyDescent="0.35">
      <c r="A34" s="92" t="s">
        <v>452</v>
      </c>
      <c r="B34" s="93"/>
      <c r="C34" s="93"/>
      <c r="D34" s="93"/>
      <c r="E34" s="93"/>
      <c r="F34" s="94">
        <f>6750</f>
        <v>6750</v>
      </c>
      <c r="G34" s="93"/>
      <c r="H34" s="93"/>
      <c r="I34" s="94">
        <f t="shared" si="9"/>
        <v>0</v>
      </c>
      <c r="J34" s="94">
        <f t="shared" si="10"/>
        <v>6750</v>
      </c>
      <c r="K34" s="93"/>
      <c r="L34" s="94">
        <f t="shared" si="11"/>
        <v>6750</v>
      </c>
    </row>
    <row r="35" spans="1:12" x14ac:dyDescent="0.35">
      <c r="A35" s="92" t="s">
        <v>344</v>
      </c>
      <c r="B35" s="94">
        <f>250</f>
        <v>250</v>
      </c>
      <c r="C35" s="93"/>
      <c r="D35" s="93"/>
      <c r="E35" s="93"/>
      <c r="F35" s="93"/>
      <c r="G35" s="94">
        <f>3337.76</f>
        <v>3337.76</v>
      </c>
      <c r="H35" s="94">
        <f>3436.5</f>
        <v>3436.5</v>
      </c>
      <c r="I35" s="94">
        <f t="shared" si="9"/>
        <v>6774.26</v>
      </c>
      <c r="J35" s="94">
        <f t="shared" si="10"/>
        <v>6774.26</v>
      </c>
      <c r="K35" s="93"/>
      <c r="L35" s="94">
        <f t="shared" si="11"/>
        <v>7024.26</v>
      </c>
    </row>
    <row r="36" spans="1:12" x14ac:dyDescent="0.35">
      <c r="A36" s="92" t="s">
        <v>345</v>
      </c>
      <c r="B36" s="96">
        <f t="shared" ref="B36:H36" si="12">(((B32)+(B33))+(B34))+(B35)</f>
        <v>250</v>
      </c>
      <c r="C36" s="96">
        <f t="shared" si="12"/>
        <v>0</v>
      </c>
      <c r="D36" s="96">
        <f t="shared" si="12"/>
        <v>714.01</v>
      </c>
      <c r="E36" s="96">
        <f t="shared" si="12"/>
        <v>0</v>
      </c>
      <c r="F36" s="96">
        <f t="shared" si="12"/>
        <v>6750</v>
      </c>
      <c r="G36" s="96">
        <f t="shared" si="12"/>
        <v>3337.76</v>
      </c>
      <c r="H36" s="96">
        <f t="shared" si="12"/>
        <v>3436.5</v>
      </c>
      <c r="I36" s="96">
        <f t="shared" si="9"/>
        <v>6774.26</v>
      </c>
      <c r="J36" s="96">
        <f t="shared" si="10"/>
        <v>14238.27</v>
      </c>
      <c r="K36" s="96">
        <f>(((K32)+(K33))+(K34))+(K35)</f>
        <v>0</v>
      </c>
      <c r="L36" s="96">
        <f t="shared" si="11"/>
        <v>14488.27</v>
      </c>
    </row>
    <row r="37" spans="1:12" x14ac:dyDescent="0.35">
      <c r="A37" s="92" t="s">
        <v>346</v>
      </c>
      <c r="B37" s="93"/>
      <c r="C37" s="93"/>
      <c r="D37" s="93"/>
      <c r="E37" s="93"/>
      <c r="F37" s="93"/>
      <c r="G37" s="93"/>
      <c r="H37" s="93"/>
      <c r="I37" s="94">
        <f t="shared" si="9"/>
        <v>0</v>
      </c>
      <c r="J37" s="94">
        <f t="shared" si="10"/>
        <v>0</v>
      </c>
      <c r="K37" s="93"/>
      <c r="L37" s="94">
        <f t="shared" si="11"/>
        <v>0</v>
      </c>
    </row>
    <row r="38" spans="1:12" x14ac:dyDescent="0.35">
      <c r="A38" s="92" t="s">
        <v>347</v>
      </c>
      <c r="B38" s="94">
        <f>156100.69</f>
        <v>156100.69</v>
      </c>
      <c r="C38" s="93"/>
      <c r="D38" s="93"/>
      <c r="E38" s="93"/>
      <c r="F38" s="93"/>
      <c r="G38" s="93"/>
      <c r="H38" s="93"/>
      <c r="I38" s="94">
        <f t="shared" si="9"/>
        <v>0</v>
      </c>
      <c r="J38" s="94">
        <f t="shared" si="10"/>
        <v>0</v>
      </c>
      <c r="K38" s="93"/>
      <c r="L38" s="94">
        <f t="shared" si="11"/>
        <v>156100.69</v>
      </c>
    </row>
    <row r="39" spans="1:12" x14ac:dyDescent="0.35">
      <c r="A39" s="92" t="s">
        <v>348</v>
      </c>
      <c r="B39" s="94">
        <f>12509.37</f>
        <v>12509.37</v>
      </c>
      <c r="C39" s="93"/>
      <c r="D39" s="93"/>
      <c r="E39" s="93"/>
      <c r="F39" s="93"/>
      <c r="G39" s="93"/>
      <c r="H39" s="93"/>
      <c r="I39" s="94">
        <f t="shared" si="9"/>
        <v>0</v>
      </c>
      <c r="J39" s="94">
        <f t="shared" si="10"/>
        <v>0</v>
      </c>
      <c r="K39" s="93"/>
      <c r="L39" s="94">
        <f t="shared" si="11"/>
        <v>12509.37</v>
      </c>
    </row>
    <row r="40" spans="1:12" x14ac:dyDescent="0.35">
      <c r="A40" s="92" t="s">
        <v>349</v>
      </c>
      <c r="B40" s="94">
        <f>14766.27</f>
        <v>14766.27</v>
      </c>
      <c r="C40" s="93"/>
      <c r="D40" s="93"/>
      <c r="E40" s="93"/>
      <c r="F40" s="93"/>
      <c r="G40" s="93"/>
      <c r="H40" s="93"/>
      <c r="I40" s="94">
        <f t="shared" si="9"/>
        <v>0</v>
      </c>
      <c r="J40" s="94">
        <f t="shared" si="10"/>
        <v>0</v>
      </c>
      <c r="K40" s="93"/>
      <c r="L40" s="94">
        <f t="shared" si="11"/>
        <v>14766.27</v>
      </c>
    </row>
    <row r="41" spans="1:12" x14ac:dyDescent="0.35">
      <c r="A41" s="92" t="s">
        <v>350</v>
      </c>
      <c r="B41" s="94">
        <f>4759.15</f>
        <v>4759.1499999999996</v>
      </c>
      <c r="C41" s="93"/>
      <c r="D41" s="93"/>
      <c r="E41" s="93"/>
      <c r="F41" s="93"/>
      <c r="G41" s="93"/>
      <c r="H41" s="93"/>
      <c r="I41" s="94">
        <f t="shared" si="9"/>
        <v>0</v>
      </c>
      <c r="J41" s="94">
        <f t="shared" si="10"/>
        <v>0</v>
      </c>
      <c r="K41" s="93"/>
      <c r="L41" s="94">
        <f t="shared" si="11"/>
        <v>4759.1499999999996</v>
      </c>
    </row>
    <row r="42" spans="1:12" x14ac:dyDescent="0.35">
      <c r="A42" s="92" t="s">
        <v>351</v>
      </c>
      <c r="B42" s="94">
        <f>1994.6</f>
        <v>1994.6</v>
      </c>
      <c r="C42" s="93"/>
      <c r="D42" s="93"/>
      <c r="E42" s="93"/>
      <c r="F42" s="93"/>
      <c r="G42" s="93"/>
      <c r="H42" s="93"/>
      <c r="I42" s="94">
        <f t="shared" si="9"/>
        <v>0</v>
      </c>
      <c r="J42" s="94">
        <f t="shared" si="10"/>
        <v>0</v>
      </c>
      <c r="K42" s="93"/>
      <c r="L42" s="94">
        <f t="shared" si="11"/>
        <v>1994.6</v>
      </c>
    </row>
    <row r="43" spans="1:12" x14ac:dyDescent="0.35">
      <c r="A43" s="92" t="s">
        <v>352</v>
      </c>
      <c r="B43" s="96">
        <f t="shared" ref="B43:H43" si="13">(((((B37)+(B38))+(B39))+(B40))+(B41))+(B42)</f>
        <v>190130.08</v>
      </c>
      <c r="C43" s="96">
        <f t="shared" si="13"/>
        <v>0</v>
      </c>
      <c r="D43" s="96">
        <f t="shared" si="13"/>
        <v>0</v>
      </c>
      <c r="E43" s="96">
        <f t="shared" si="13"/>
        <v>0</v>
      </c>
      <c r="F43" s="96">
        <f t="shared" si="13"/>
        <v>0</v>
      </c>
      <c r="G43" s="96">
        <f t="shared" si="13"/>
        <v>0</v>
      </c>
      <c r="H43" s="96">
        <f t="shared" si="13"/>
        <v>0</v>
      </c>
      <c r="I43" s="96">
        <f t="shared" si="9"/>
        <v>0</v>
      </c>
      <c r="J43" s="96">
        <f t="shared" si="10"/>
        <v>0</v>
      </c>
      <c r="K43" s="96">
        <f>(((((K37)+(K38))+(K39))+(K40))+(K41))+(K42)</f>
        <v>0</v>
      </c>
      <c r="L43" s="96">
        <f t="shared" si="11"/>
        <v>190130.08</v>
      </c>
    </row>
    <row r="44" spans="1:12" x14ac:dyDescent="0.35">
      <c r="A44" s="92" t="s">
        <v>353</v>
      </c>
      <c r="B44" s="93"/>
      <c r="C44" s="93"/>
      <c r="D44" s="93"/>
      <c r="E44" s="93"/>
      <c r="F44" s="93"/>
      <c r="G44" s="93"/>
      <c r="H44" s="93"/>
      <c r="I44" s="94">
        <f t="shared" si="9"/>
        <v>0</v>
      </c>
      <c r="J44" s="94">
        <f t="shared" si="10"/>
        <v>0</v>
      </c>
      <c r="K44" s="93"/>
      <c r="L44" s="94">
        <f t="shared" si="11"/>
        <v>0</v>
      </c>
    </row>
    <row r="45" spans="1:12" x14ac:dyDescent="0.35">
      <c r="A45" s="92" t="s">
        <v>453</v>
      </c>
      <c r="B45" s="94">
        <f>175</f>
        <v>175</v>
      </c>
      <c r="C45" s="93"/>
      <c r="D45" s="93"/>
      <c r="E45" s="93"/>
      <c r="F45" s="93"/>
      <c r="G45" s="93"/>
      <c r="H45" s="93"/>
      <c r="I45" s="94">
        <f t="shared" si="9"/>
        <v>0</v>
      </c>
      <c r="J45" s="94">
        <f t="shared" si="10"/>
        <v>0</v>
      </c>
      <c r="K45" s="93"/>
      <c r="L45" s="94">
        <f t="shared" si="11"/>
        <v>175</v>
      </c>
    </row>
    <row r="46" spans="1:12" x14ac:dyDescent="0.35">
      <c r="A46" s="92" t="s">
        <v>354</v>
      </c>
      <c r="B46" s="94">
        <f>33300</f>
        <v>33300</v>
      </c>
      <c r="C46" s="93"/>
      <c r="D46" s="93"/>
      <c r="E46" s="93"/>
      <c r="F46" s="93"/>
      <c r="G46" s="93"/>
      <c r="H46" s="93"/>
      <c r="I46" s="94">
        <f t="shared" si="9"/>
        <v>0</v>
      </c>
      <c r="J46" s="94">
        <f t="shared" si="10"/>
        <v>0</v>
      </c>
      <c r="K46" s="93"/>
      <c r="L46" s="94">
        <f t="shared" si="11"/>
        <v>33300</v>
      </c>
    </row>
    <row r="47" spans="1:12" ht="14.5" customHeight="1" x14ac:dyDescent="0.35">
      <c r="A47" s="92" t="s">
        <v>356</v>
      </c>
      <c r="B47" s="94">
        <f>34589.13</f>
        <v>34589.129999999997</v>
      </c>
      <c r="C47" s="93"/>
      <c r="D47" s="93"/>
      <c r="E47" s="93"/>
      <c r="F47" s="93"/>
      <c r="G47" s="93"/>
      <c r="H47" s="93"/>
      <c r="I47" s="94">
        <f t="shared" si="9"/>
        <v>0</v>
      </c>
      <c r="J47" s="94">
        <f t="shared" si="10"/>
        <v>0</v>
      </c>
      <c r="K47" s="93"/>
      <c r="L47" s="94">
        <f t="shared" si="11"/>
        <v>34589.129999999997</v>
      </c>
    </row>
    <row r="48" spans="1:12" x14ac:dyDescent="0.35">
      <c r="A48" s="92" t="s">
        <v>357</v>
      </c>
      <c r="B48" s="94">
        <f>170</f>
        <v>170</v>
      </c>
      <c r="C48" s="93"/>
      <c r="D48" s="93"/>
      <c r="E48" s="93"/>
      <c r="F48" s="93"/>
      <c r="G48" s="93"/>
      <c r="H48" s="93"/>
      <c r="I48" s="94">
        <f t="shared" si="9"/>
        <v>0</v>
      </c>
      <c r="J48" s="94">
        <f t="shared" si="10"/>
        <v>0</v>
      </c>
      <c r="K48" s="93"/>
      <c r="L48" s="94">
        <f t="shared" si="11"/>
        <v>170</v>
      </c>
    </row>
    <row r="49" spans="1:12" x14ac:dyDescent="0.35">
      <c r="A49" s="92" t="s">
        <v>358</v>
      </c>
      <c r="B49" s="96">
        <f t="shared" ref="B49:H49" si="14">((((B44)+(B45))+(B46))+(B47))+(B48)</f>
        <v>68234.13</v>
      </c>
      <c r="C49" s="96">
        <f t="shared" si="14"/>
        <v>0</v>
      </c>
      <c r="D49" s="96">
        <f t="shared" si="14"/>
        <v>0</v>
      </c>
      <c r="E49" s="96">
        <f t="shared" si="14"/>
        <v>0</v>
      </c>
      <c r="F49" s="96">
        <f t="shared" si="14"/>
        <v>0</v>
      </c>
      <c r="G49" s="96">
        <f t="shared" si="14"/>
        <v>0</v>
      </c>
      <c r="H49" s="96">
        <f t="shared" si="14"/>
        <v>0</v>
      </c>
      <c r="I49" s="96">
        <f t="shared" si="9"/>
        <v>0</v>
      </c>
      <c r="J49" s="96">
        <f t="shared" si="10"/>
        <v>0</v>
      </c>
      <c r="K49" s="96">
        <f>((((K44)+(K45))+(K46))+(K47))+(K48)</f>
        <v>0</v>
      </c>
      <c r="L49" s="96">
        <f t="shared" si="11"/>
        <v>68234.13</v>
      </c>
    </row>
    <row r="50" spans="1:12" x14ac:dyDescent="0.35">
      <c r="A50" s="92" t="s">
        <v>359</v>
      </c>
      <c r="B50" s="93"/>
      <c r="C50" s="93"/>
      <c r="D50" s="93"/>
      <c r="E50" s="93"/>
      <c r="F50" s="93"/>
      <c r="G50" s="93"/>
      <c r="H50" s="93"/>
      <c r="I50" s="94">
        <f t="shared" si="9"/>
        <v>0</v>
      </c>
      <c r="J50" s="94">
        <f t="shared" si="10"/>
        <v>0</v>
      </c>
      <c r="K50" s="93"/>
      <c r="L50" s="94">
        <f t="shared" si="11"/>
        <v>0</v>
      </c>
    </row>
    <row r="51" spans="1:12" x14ac:dyDescent="0.35">
      <c r="A51" s="92" t="s">
        <v>360</v>
      </c>
      <c r="B51" s="94">
        <f>191.17</f>
        <v>191.17</v>
      </c>
      <c r="C51" s="93"/>
      <c r="D51" s="93"/>
      <c r="E51" s="93"/>
      <c r="F51" s="93"/>
      <c r="G51" s="93"/>
      <c r="H51" s="93"/>
      <c r="I51" s="94">
        <f t="shared" si="9"/>
        <v>0</v>
      </c>
      <c r="J51" s="94">
        <f t="shared" si="10"/>
        <v>0</v>
      </c>
      <c r="K51" s="93"/>
      <c r="L51" s="94">
        <f t="shared" si="11"/>
        <v>191.17</v>
      </c>
    </row>
    <row r="52" spans="1:12" x14ac:dyDescent="0.35">
      <c r="A52" s="92" t="s">
        <v>361</v>
      </c>
      <c r="B52" s="94">
        <f>797.82</f>
        <v>797.82</v>
      </c>
      <c r="C52" s="93"/>
      <c r="D52" s="93"/>
      <c r="E52" s="93"/>
      <c r="F52" s="93"/>
      <c r="G52" s="93"/>
      <c r="H52" s="93"/>
      <c r="I52" s="94">
        <f t="shared" si="9"/>
        <v>0</v>
      </c>
      <c r="J52" s="94">
        <f t="shared" si="10"/>
        <v>0</v>
      </c>
      <c r="K52" s="93"/>
      <c r="L52" s="94">
        <f t="shared" si="11"/>
        <v>797.82</v>
      </c>
    </row>
    <row r="53" spans="1:12" x14ac:dyDescent="0.35">
      <c r="A53" s="92" t="s">
        <v>363</v>
      </c>
      <c r="B53" s="96">
        <f t="shared" ref="B53:H53" si="15">((B50)+(B51))+(B52)</f>
        <v>988.99</v>
      </c>
      <c r="C53" s="96">
        <f t="shared" si="15"/>
        <v>0</v>
      </c>
      <c r="D53" s="96">
        <f t="shared" si="15"/>
        <v>0</v>
      </c>
      <c r="E53" s="96">
        <f t="shared" si="15"/>
        <v>0</v>
      </c>
      <c r="F53" s="96">
        <f t="shared" si="15"/>
        <v>0</v>
      </c>
      <c r="G53" s="96">
        <f t="shared" si="15"/>
        <v>0</v>
      </c>
      <c r="H53" s="96">
        <f t="shared" si="15"/>
        <v>0</v>
      </c>
      <c r="I53" s="96">
        <f t="shared" si="9"/>
        <v>0</v>
      </c>
      <c r="J53" s="96">
        <f t="shared" si="10"/>
        <v>0</v>
      </c>
      <c r="K53" s="96">
        <f>((K50)+(K51))+(K52)</f>
        <v>0</v>
      </c>
      <c r="L53" s="96">
        <f t="shared" si="11"/>
        <v>988.99</v>
      </c>
    </row>
    <row r="54" spans="1:12" x14ac:dyDescent="0.35">
      <c r="A54" s="92" t="s">
        <v>364</v>
      </c>
      <c r="B54" s="93"/>
      <c r="C54" s="93"/>
      <c r="D54" s="93"/>
      <c r="E54" s="93"/>
      <c r="F54" s="93"/>
      <c r="G54" s="93"/>
      <c r="H54" s="93"/>
      <c r="I54" s="94">
        <f t="shared" si="9"/>
        <v>0</v>
      </c>
      <c r="J54" s="94">
        <f t="shared" si="10"/>
        <v>0</v>
      </c>
      <c r="K54" s="93"/>
      <c r="L54" s="94">
        <f t="shared" si="11"/>
        <v>0</v>
      </c>
    </row>
    <row r="55" spans="1:12" x14ac:dyDescent="0.35">
      <c r="A55" s="92" t="s">
        <v>366</v>
      </c>
      <c r="B55" s="94">
        <f>4051.97</f>
        <v>4051.97</v>
      </c>
      <c r="C55" s="93"/>
      <c r="D55" s="93"/>
      <c r="E55" s="93"/>
      <c r="F55" s="93"/>
      <c r="G55" s="93"/>
      <c r="H55" s="93"/>
      <c r="I55" s="94">
        <f t="shared" si="9"/>
        <v>0</v>
      </c>
      <c r="J55" s="94">
        <f t="shared" si="10"/>
        <v>0</v>
      </c>
      <c r="K55" s="93"/>
      <c r="L55" s="94">
        <f t="shared" si="11"/>
        <v>4051.97</v>
      </c>
    </row>
    <row r="56" spans="1:12" x14ac:dyDescent="0.35">
      <c r="A56" s="92" t="s">
        <v>367</v>
      </c>
      <c r="B56" s="94">
        <f>1133.66</f>
        <v>1133.6600000000001</v>
      </c>
      <c r="C56" s="93"/>
      <c r="D56" s="93"/>
      <c r="E56" s="93"/>
      <c r="F56" s="93"/>
      <c r="G56" s="94">
        <f>429.36</f>
        <v>429.36</v>
      </c>
      <c r="H56" s="93"/>
      <c r="I56" s="94">
        <f t="shared" si="9"/>
        <v>429.36</v>
      </c>
      <c r="J56" s="94">
        <f t="shared" si="10"/>
        <v>429.36</v>
      </c>
      <c r="K56" s="93"/>
      <c r="L56" s="94">
        <f t="shared" si="11"/>
        <v>1563.02</v>
      </c>
    </row>
    <row r="57" spans="1:12" x14ac:dyDescent="0.35">
      <c r="A57" s="92" t="s">
        <v>368</v>
      </c>
      <c r="B57" s="94">
        <f>937</f>
        <v>937</v>
      </c>
      <c r="C57" s="93"/>
      <c r="D57" s="93"/>
      <c r="E57" s="93"/>
      <c r="F57" s="93"/>
      <c r="G57" s="93"/>
      <c r="H57" s="93"/>
      <c r="I57" s="94">
        <f t="shared" si="9"/>
        <v>0</v>
      </c>
      <c r="J57" s="94">
        <f t="shared" si="10"/>
        <v>0</v>
      </c>
      <c r="K57" s="93"/>
      <c r="L57" s="94">
        <f t="shared" si="11"/>
        <v>937</v>
      </c>
    </row>
    <row r="58" spans="1:12" x14ac:dyDescent="0.35">
      <c r="A58" s="92" t="s">
        <v>369</v>
      </c>
      <c r="B58" s="94">
        <f>1395</f>
        <v>1395</v>
      </c>
      <c r="C58" s="93"/>
      <c r="D58" s="93"/>
      <c r="E58" s="93"/>
      <c r="F58" s="93"/>
      <c r="G58" s="93"/>
      <c r="H58" s="93"/>
      <c r="I58" s="94">
        <f t="shared" si="9"/>
        <v>0</v>
      </c>
      <c r="J58" s="94">
        <f t="shared" si="10"/>
        <v>0</v>
      </c>
      <c r="K58" s="93"/>
      <c r="L58" s="94">
        <f t="shared" si="11"/>
        <v>1395</v>
      </c>
    </row>
    <row r="59" spans="1:12" x14ac:dyDescent="0.35">
      <c r="A59" s="92" t="s">
        <v>371</v>
      </c>
      <c r="B59" s="94">
        <f>1433.7</f>
        <v>1433.7</v>
      </c>
      <c r="C59" s="93"/>
      <c r="D59" s="93"/>
      <c r="E59" s="93"/>
      <c r="F59" s="93"/>
      <c r="G59" s="93"/>
      <c r="H59" s="93"/>
      <c r="I59" s="94">
        <f t="shared" si="9"/>
        <v>0</v>
      </c>
      <c r="J59" s="94">
        <f t="shared" si="10"/>
        <v>0</v>
      </c>
      <c r="K59" s="93"/>
      <c r="L59" s="94">
        <f t="shared" si="11"/>
        <v>1433.7</v>
      </c>
    </row>
    <row r="60" spans="1:12" x14ac:dyDescent="0.35">
      <c r="A60" s="92" t="s">
        <v>372</v>
      </c>
      <c r="B60" s="94">
        <f>227.05</f>
        <v>227.05</v>
      </c>
      <c r="C60" s="93"/>
      <c r="D60" s="93"/>
      <c r="E60" s="93"/>
      <c r="F60" s="93"/>
      <c r="G60" s="93"/>
      <c r="H60" s="93"/>
      <c r="I60" s="94">
        <f t="shared" si="9"/>
        <v>0</v>
      </c>
      <c r="J60" s="94">
        <f t="shared" si="10"/>
        <v>0</v>
      </c>
      <c r="K60" s="93"/>
      <c r="L60" s="94">
        <f t="shared" si="11"/>
        <v>227.05</v>
      </c>
    </row>
    <row r="61" spans="1:12" x14ac:dyDescent="0.35">
      <c r="A61" s="92" t="s">
        <v>374</v>
      </c>
      <c r="B61" s="94">
        <f>6724</f>
        <v>6724</v>
      </c>
      <c r="C61" s="93"/>
      <c r="D61" s="93"/>
      <c r="E61" s="93"/>
      <c r="F61" s="93"/>
      <c r="G61" s="93"/>
      <c r="H61" s="93"/>
      <c r="I61" s="94">
        <f t="shared" si="9"/>
        <v>0</v>
      </c>
      <c r="J61" s="94">
        <f t="shared" si="10"/>
        <v>0</v>
      </c>
      <c r="K61" s="93"/>
      <c r="L61" s="94">
        <f t="shared" si="11"/>
        <v>6724</v>
      </c>
    </row>
    <row r="62" spans="1:12" x14ac:dyDescent="0.35">
      <c r="A62" s="92" t="s">
        <v>375</v>
      </c>
      <c r="B62" s="94">
        <f>593.71</f>
        <v>593.71</v>
      </c>
      <c r="C62" s="93"/>
      <c r="D62" s="93"/>
      <c r="E62" s="93"/>
      <c r="F62" s="93"/>
      <c r="G62" s="93"/>
      <c r="H62" s="93"/>
      <c r="I62" s="94">
        <f t="shared" si="9"/>
        <v>0</v>
      </c>
      <c r="J62" s="94">
        <f t="shared" si="10"/>
        <v>0</v>
      </c>
      <c r="K62" s="93"/>
      <c r="L62" s="94">
        <f t="shared" si="11"/>
        <v>593.71</v>
      </c>
    </row>
    <row r="63" spans="1:12" x14ac:dyDescent="0.35">
      <c r="A63" s="92" t="s">
        <v>376</v>
      </c>
      <c r="B63" s="94">
        <f>426.64</f>
        <v>426.64</v>
      </c>
      <c r="C63" s="93"/>
      <c r="D63" s="93"/>
      <c r="E63" s="93"/>
      <c r="F63" s="93"/>
      <c r="G63" s="93"/>
      <c r="H63" s="93"/>
      <c r="I63" s="94">
        <f t="shared" si="9"/>
        <v>0</v>
      </c>
      <c r="J63" s="94">
        <f t="shared" si="10"/>
        <v>0</v>
      </c>
      <c r="K63" s="93"/>
      <c r="L63" s="94">
        <f t="shared" si="11"/>
        <v>426.64</v>
      </c>
    </row>
    <row r="64" spans="1:12" x14ac:dyDescent="0.35">
      <c r="A64" s="92" t="s">
        <v>377</v>
      </c>
      <c r="B64" s="94">
        <f>35.16</f>
        <v>35.159999999999997</v>
      </c>
      <c r="C64" s="93"/>
      <c r="D64" s="93"/>
      <c r="E64" s="93"/>
      <c r="F64" s="93"/>
      <c r="G64" s="93"/>
      <c r="H64" s="93"/>
      <c r="I64" s="94">
        <f t="shared" si="9"/>
        <v>0</v>
      </c>
      <c r="J64" s="94">
        <f t="shared" si="10"/>
        <v>0</v>
      </c>
      <c r="K64" s="93"/>
      <c r="L64" s="94">
        <f t="shared" si="11"/>
        <v>35.159999999999997</v>
      </c>
    </row>
    <row r="65" spans="1:12" x14ac:dyDescent="0.35">
      <c r="A65" s="92" t="s">
        <v>379</v>
      </c>
      <c r="B65" s="94">
        <f>5134.6</f>
        <v>5134.6000000000004</v>
      </c>
      <c r="C65" s="93"/>
      <c r="D65" s="93"/>
      <c r="E65" s="93"/>
      <c r="F65" s="93"/>
      <c r="G65" s="93"/>
      <c r="H65" s="93"/>
      <c r="I65" s="94">
        <f t="shared" si="9"/>
        <v>0</v>
      </c>
      <c r="J65" s="94">
        <f t="shared" si="10"/>
        <v>0</v>
      </c>
      <c r="K65" s="93"/>
      <c r="L65" s="94">
        <f t="shared" si="11"/>
        <v>5134.6000000000004</v>
      </c>
    </row>
    <row r="66" spans="1:12" x14ac:dyDescent="0.35">
      <c r="A66" s="92" t="s">
        <v>380</v>
      </c>
      <c r="B66" s="96">
        <f t="shared" ref="B66:H66" si="16">(((((((((((B54)+(B55))+(B56))+(B57))+(B58))+(B59))+(B60))+(B61))+(B62))+(B63))+(B64))+(B65)</f>
        <v>22092.489999999998</v>
      </c>
      <c r="C66" s="96">
        <f t="shared" si="16"/>
        <v>0</v>
      </c>
      <c r="D66" s="96">
        <f t="shared" si="16"/>
        <v>0</v>
      </c>
      <c r="E66" s="96">
        <f t="shared" si="16"/>
        <v>0</v>
      </c>
      <c r="F66" s="96">
        <f t="shared" si="16"/>
        <v>0</v>
      </c>
      <c r="G66" s="96">
        <f t="shared" si="16"/>
        <v>429.36</v>
      </c>
      <c r="H66" s="96">
        <f t="shared" si="16"/>
        <v>0</v>
      </c>
      <c r="I66" s="96">
        <f t="shared" si="9"/>
        <v>429.36</v>
      </c>
      <c r="J66" s="96">
        <f t="shared" si="10"/>
        <v>429.36</v>
      </c>
      <c r="K66" s="96">
        <f>(((((((((((K54)+(K55))+(K56))+(K57))+(K58))+(K59))+(K60))+(K61))+(K62))+(K63))+(K64))+(K65)</f>
        <v>0</v>
      </c>
      <c r="L66" s="96">
        <f t="shared" si="11"/>
        <v>22521.85</v>
      </c>
    </row>
    <row r="67" spans="1:12" x14ac:dyDescent="0.35">
      <c r="A67" s="92" t="s">
        <v>176</v>
      </c>
      <c r="B67" s="96">
        <f t="shared" ref="B67:H67" si="17">((((B36)+(B43))+(B49))+(B53))+(B66)</f>
        <v>281695.69</v>
      </c>
      <c r="C67" s="96">
        <f t="shared" si="17"/>
        <v>0</v>
      </c>
      <c r="D67" s="96">
        <f t="shared" si="17"/>
        <v>714.01</v>
      </c>
      <c r="E67" s="96">
        <f t="shared" si="17"/>
        <v>0</v>
      </c>
      <c r="F67" s="96">
        <f t="shared" si="17"/>
        <v>6750</v>
      </c>
      <c r="G67" s="96">
        <f t="shared" si="17"/>
        <v>3767.1200000000003</v>
      </c>
      <c r="H67" s="96">
        <f t="shared" si="17"/>
        <v>3436.5</v>
      </c>
      <c r="I67" s="96">
        <f t="shared" si="9"/>
        <v>7203.6200000000008</v>
      </c>
      <c r="J67" s="96">
        <f t="shared" si="10"/>
        <v>14667.630000000001</v>
      </c>
      <c r="K67" s="96">
        <f>((((K36)+(K43))+(K49))+(K53))+(K66)</f>
        <v>0</v>
      </c>
      <c r="L67" s="96">
        <f t="shared" si="11"/>
        <v>296363.32</v>
      </c>
    </row>
    <row r="68" spans="1:12" x14ac:dyDescent="0.35">
      <c r="A68" s="92" t="s">
        <v>177</v>
      </c>
      <c r="B68" s="96">
        <f t="shared" ref="B68:H68" si="18">(B30)-(B67)</f>
        <v>-280655.02</v>
      </c>
      <c r="C68" s="96">
        <f t="shared" si="18"/>
        <v>0</v>
      </c>
      <c r="D68" s="96">
        <f t="shared" si="18"/>
        <v>-689.01</v>
      </c>
      <c r="E68" s="96">
        <f t="shared" si="18"/>
        <v>3789</v>
      </c>
      <c r="F68" s="96">
        <f t="shared" si="18"/>
        <v>-6750</v>
      </c>
      <c r="G68" s="96">
        <f t="shared" si="18"/>
        <v>10914.88</v>
      </c>
      <c r="H68" s="96">
        <f t="shared" si="18"/>
        <v>-3436.5</v>
      </c>
      <c r="I68" s="96">
        <f t="shared" si="9"/>
        <v>7478.3799999999992</v>
      </c>
      <c r="J68" s="96">
        <f t="shared" si="10"/>
        <v>3828.369999999999</v>
      </c>
      <c r="K68" s="96">
        <f>(K30)-(K67)</f>
        <v>226206.37000000002</v>
      </c>
      <c r="L68" s="96">
        <f t="shared" si="11"/>
        <v>-50620.28</v>
      </c>
    </row>
    <row r="69" spans="1:12" x14ac:dyDescent="0.35">
      <c r="A69" s="92" t="s">
        <v>178</v>
      </c>
      <c r="B69" s="93"/>
      <c r="C69" s="93"/>
      <c r="D69" s="93"/>
      <c r="E69" s="93"/>
      <c r="F69" s="93"/>
      <c r="G69" s="93"/>
      <c r="H69" s="93"/>
      <c r="I69" s="93"/>
      <c r="J69" s="93"/>
      <c r="K69" s="93"/>
      <c r="L69" s="93"/>
    </row>
    <row r="70" spans="1:12" x14ac:dyDescent="0.35">
      <c r="A70" s="92" t="s">
        <v>381</v>
      </c>
      <c r="B70" s="94">
        <f>0</f>
        <v>0</v>
      </c>
      <c r="C70" s="93"/>
      <c r="D70" s="93"/>
      <c r="E70" s="93"/>
      <c r="F70" s="93"/>
      <c r="G70" s="93"/>
      <c r="H70" s="93"/>
      <c r="I70" s="94">
        <f>(G70)+(H70)</f>
        <v>0</v>
      </c>
      <c r="J70" s="94">
        <f>((((C70)+(D70))+(E70))+(F70))+(I70)</f>
        <v>0</v>
      </c>
      <c r="K70" s="93"/>
      <c r="L70" s="94">
        <f>((B70)+(J70))+(K70)</f>
        <v>0</v>
      </c>
    </row>
    <row r="71" spans="1:12" x14ac:dyDescent="0.35">
      <c r="A71" s="92" t="s">
        <v>382</v>
      </c>
      <c r="B71" s="94">
        <f>4555.88</f>
        <v>4555.88</v>
      </c>
      <c r="C71" s="93"/>
      <c r="D71" s="93"/>
      <c r="E71" s="93"/>
      <c r="F71" s="93"/>
      <c r="G71" s="93"/>
      <c r="H71" s="93"/>
      <c r="I71" s="94">
        <f>(G71)+(H71)</f>
        <v>0</v>
      </c>
      <c r="J71" s="94">
        <f>((((C71)+(D71))+(E71))+(F71))+(I71)</f>
        <v>0</v>
      </c>
      <c r="K71" s="93"/>
      <c r="L71" s="94">
        <f>((B71)+(J71))+(K71)</f>
        <v>4555.88</v>
      </c>
    </row>
    <row r="72" spans="1:12" x14ac:dyDescent="0.35">
      <c r="A72" s="92" t="s">
        <v>383</v>
      </c>
      <c r="B72" s="94">
        <f>30935.73</f>
        <v>30935.73</v>
      </c>
      <c r="C72" s="93"/>
      <c r="D72" s="93"/>
      <c r="E72" s="93"/>
      <c r="F72" s="93"/>
      <c r="G72" s="93"/>
      <c r="H72" s="93"/>
      <c r="I72" s="94">
        <f>(G72)+(H72)</f>
        <v>0</v>
      </c>
      <c r="J72" s="94">
        <f>((((C72)+(D72))+(E72))+(F72))+(I72)</f>
        <v>0</v>
      </c>
      <c r="K72" s="93"/>
      <c r="L72" s="94">
        <f>((B72)+(J72))+(K72)</f>
        <v>30935.73</v>
      </c>
    </row>
    <row r="73" spans="1:12" x14ac:dyDescent="0.35">
      <c r="A73" s="92" t="s">
        <v>180</v>
      </c>
      <c r="B73" s="96">
        <f t="shared" ref="B73:H73" si="19">((B70)+(B71))+(B72)</f>
        <v>35491.61</v>
      </c>
      <c r="C73" s="96">
        <f t="shared" si="19"/>
        <v>0</v>
      </c>
      <c r="D73" s="96">
        <f t="shared" si="19"/>
        <v>0</v>
      </c>
      <c r="E73" s="96">
        <f t="shared" si="19"/>
        <v>0</v>
      </c>
      <c r="F73" s="96">
        <f t="shared" si="19"/>
        <v>0</v>
      </c>
      <c r="G73" s="96">
        <f t="shared" si="19"/>
        <v>0</v>
      </c>
      <c r="H73" s="96">
        <f t="shared" si="19"/>
        <v>0</v>
      </c>
      <c r="I73" s="96">
        <f>(G73)+(H73)</f>
        <v>0</v>
      </c>
      <c r="J73" s="96">
        <f>((((C73)+(D73))+(E73))+(F73))+(I73)</f>
        <v>0</v>
      </c>
      <c r="K73" s="96">
        <f>((K70)+(K71))+(K72)</f>
        <v>0</v>
      </c>
      <c r="L73" s="96">
        <f>((B73)+(J73))+(K73)</f>
        <v>35491.61</v>
      </c>
    </row>
    <row r="74" spans="1:12" x14ac:dyDescent="0.35">
      <c r="A74" s="92" t="s">
        <v>181</v>
      </c>
      <c r="B74" s="93"/>
      <c r="C74" s="93"/>
      <c r="D74" s="93"/>
      <c r="E74" s="93"/>
      <c r="F74" s="93"/>
      <c r="G74" s="93"/>
      <c r="H74" s="93"/>
      <c r="I74" s="93"/>
      <c r="J74" s="93"/>
      <c r="K74" s="93"/>
      <c r="L74" s="93"/>
    </row>
    <row r="75" spans="1:12" x14ac:dyDescent="0.35">
      <c r="A75" s="92" t="s">
        <v>385</v>
      </c>
      <c r="B75" s="94">
        <f>2060.27</f>
        <v>2060.27</v>
      </c>
      <c r="C75" s="93"/>
      <c r="D75" s="93"/>
      <c r="E75" s="93"/>
      <c r="F75" s="93"/>
      <c r="G75" s="93"/>
      <c r="H75" s="93"/>
      <c r="I75" s="94">
        <f>(G75)+(H75)</f>
        <v>0</v>
      </c>
      <c r="J75" s="94">
        <f>((((C75)+(D75))+(E75))+(F75))+(I75)</f>
        <v>0</v>
      </c>
      <c r="K75" s="93"/>
      <c r="L75" s="94">
        <f>((B75)+(J75))+(K75)</f>
        <v>2060.27</v>
      </c>
    </row>
    <row r="76" spans="1:12" x14ac:dyDescent="0.35">
      <c r="A76" s="92" t="s">
        <v>182</v>
      </c>
      <c r="B76" s="96">
        <f t="shared" ref="B76:H76" si="20">B75</f>
        <v>2060.27</v>
      </c>
      <c r="C76" s="96">
        <f t="shared" si="20"/>
        <v>0</v>
      </c>
      <c r="D76" s="96">
        <f t="shared" si="20"/>
        <v>0</v>
      </c>
      <c r="E76" s="96">
        <f t="shared" si="20"/>
        <v>0</v>
      </c>
      <c r="F76" s="96">
        <f t="shared" si="20"/>
        <v>0</v>
      </c>
      <c r="G76" s="96">
        <f t="shared" si="20"/>
        <v>0</v>
      </c>
      <c r="H76" s="96">
        <f t="shared" si="20"/>
        <v>0</v>
      </c>
      <c r="I76" s="96">
        <f>(G76)+(H76)</f>
        <v>0</v>
      </c>
      <c r="J76" s="96">
        <f>((((C76)+(D76))+(E76))+(F76))+(I76)</f>
        <v>0</v>
      </c>
      <c r="K76" s="96">
        <f>K75</f>
        <v>0</v>
      </c>
      <c r="L76" s="96">
        <f>((B76)+(J76))+(K76)</f>
        <v>2060.27</v>
      </c>
    </row>
    <row r="77" spans="1:12" x14ac:dyDescent="0.35">
      <c r="A77" s="92" t="s">
        <v>183</v>
      </c>
      <c r="B77" s="96">
        <f t="shared" ref="B77:H77" si="21">(B73)-(B76)</f>
        <v>33431.340000000004</v>
      </c>
      <c r="C77" s="96">
        <f t="shared" si="21"/>
        <v>0</v>
      </c>
      <c r="D77" s="96">
        <f t="shared" si="21"/>
        <v>0</v>
      </c>
      <c r="E77" s="96">
        <f t="shared" si="21"/>
        <v>0</v>
      </c>
      <c r="F77" s="96">
        <f t="shared" si="21"/>
        <v>0</v>
      </c>
      <c r="G77" s="96">
        <f t="shared" si="21"/>
        <v>0</v>
      </c>
      <c r="H77" s="96">
        <f t="shared" si="21"/>
        <v>0</v>
      </c>
      <c r="I77" s="96">
        <f>(G77)+(H77)</f>
        <v>0</v>
      </c>
      <c r="J77" s="96">
        <f>((((C77)+(D77))+(E77))+(F77))+(I77)</f>
        <v>0</v>
      </c>
      <c r="K77" s="96">
        <f>(K73)-(K76)</f>
        <v>0</v>
      </c>
      <c r="L77" s="96">
        <f>((B77)+(J77))+(K77)</f>
        <v>33431.340000000004</v>
      </c>
    </row>
    <row r="78" spans="1:12" x14ac:dyDescent="0.35">
      <c r="A78" s="92" t="s">
        <v>184</v>
      </c>
      <c r="B78" s="96">
        <f t="shared" ref="B78:H78" si="22">(B68)+(B77)</f>
        <v>-247223.68000000002</v>
      </c>
      <c r="C78" s="96">
        <f t="shared" si="22"/>
        <v>0</v>
      </c>
      <c r="D78" s="96">
        <f t="shared" si="22"/>
        <v>-689.01</v>
      </c>
      <c r="E78" s="96">
        <f t="shared" si="22"/>
        <v>3789</v>
      </c>
      <c r="F78" s="96">
        <f t="shared" si="22"/>
        <v>-6750</v>
      </c>
      <c r="G78" s="96">
        <f t="shared" si="22"/>
        <v>10914.88</v>
      </c>
      <c r="H78" s="96">
        <f t="shared" si="22"/>
        <v>-3436.5</v>
      </c>
      <c r="I78" s="96">
        <f>(G78)+(H78)</f>
        <v>7478.3799999999992</v>
      </c>
      <c r="J78" s="96">
        <f>((((C78)+(D78))+(E78))+(F78))+(I78)</f>
        <v>3828.369999999999</v>
      </c>
      <c r="K78" s="96">
        <f>(K68)+(K77)</f>
        <v>226206.37000000002</v>
      </c>
      <c r="L78" s="96">
        <f>((B78)+(J78))+(K78)</f>
        <v>-17188.940000000002</v>
      </c>
    </row>
  </sheetData>
  <mergeCells count="3">
    <mergeCell ref="A1:L1"/>
    <mergeCell ref="A2:L2"/>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768F-5B4B-416A-9DB2-A3145E0D867C}">
  <sheetPr>
    <tabColor theme="9" tint="0.79998168889431442"/>
  </sheetPr>
  <dimension ref="A1:I92"/>
  <sheetViews>
    <sheetView topLeftCell="B1" workbookViewId="0">
      <selection activeCell="G14" sqref="G14"/>
    </sheetView>
  </sheetViews>
  <sheetFormatPr defaultRowHeight="14.5" outlineLevelCol="1" x14ac:dyDescent="0.35"/>
  <cols>
    <col min="1" max="1" width="20" hidden="1" customWidth="1" outlineLevel="1"/>
    <col min="2" max="2" width="39.54296875" bestFit="1" customWidth="1" collapsed="1"/>
    <col min="3" max="3" width="11.7265625" bestFit="1" customWidth="1"/>
    <col min="4" max="4" width="11.26953125" bestFit="1" customWidth="1"/>
    <col min="5" max="5" width="12" customWidth="1"/>
    <col min="6" max="6" width="10.26953125" customWidth="1"/>
    <col min="9" max="9" width="11.453125" bestFit="1" customWidth="1"/>
  </cols>
  <sheetData>
    <row r="1" spans="1:6" ht="18" x14ac:dyDescent="0.4">
      <c r="B1" s="119" t="s">
        <v>172</v>
      </c>
      <c r="C1" s="115"/>
      <c r="D1" s="115"/>
      <c r="E1" s="115"/>
      <c r="F1" s="115"/>
    </row>
    <row r="2" spans="1:6" ht="18" x14ac:dyDescent="0.4">
      <c r="B2" s="119" t="s">
        <v>213</v>
      </c>
      <c r="C2" s="115"/>
      <c r="D2" s="115"/>
      <c r="E2" s="115"/>
      <c r="F2" s="115"/>
    </row>
    <row r="3" spans="1:6" x14ac:dyDescent="0.35">
      <c r="B3" s="120" t="s">
        <v>460</v>
      </c>
      <c r="C3" s="115"/>
      <c r="D3" s="115"/>
      <c r="E3" s="115"/>
      <c r="F3" s="115"/>
    </row>
    <row r="5" spans="1:6" x14ac:dyDescent="0.35">
      <c r="B5" s="1"/>
      <c r="C5" s="121" t="s">
        <v>14</v>
      </c>
      <c r="D5" s="113"/>
      <c r="E5" s="113"/>
      <c r="F5" s="113"/>
    </row>
    <row r="6" spans="1:6" ht="24" x14ac:dyDescent="0.35">
      <c r="B6" s="1"/>
      <c r="C6" s="91" t="s">
        <v>466</v>
      </c>
      <c r="D6" s="91" t="s">
        <v>467</v>
      </c>
      <c r="E6" s="91" t="s">
        <v>165</v>
      </c>
      <c r="F6" s="91" t="s">
        <v>164</v>
      </c>
    </row>
    <row r="7" spans="1:6" x14ac:dyDescent="0.35">
      <c r="A7" t="e">
        <f>VLOOKUP(B7,Key!A:B,2,FALSE)</f>
        <v>#N/A</v>
      </c>
      <c r="B7" s="92" t="s">
        <v>173</v>
      </c>
      <c r="C7" s="93"/>
      <c r="D7" s="93"/>
      <c r="E7" s="93"/>
      <c r="F7" s="93"/>
    </row>
    <row r="8" spans="1:6" x14ac:dyDescent="0.35">
      <c r="A8" t="str">
        <f>VLOOKUP(B8,Key!A:B,2,FALSE)</f>
        <v>Membership Dues</v>
      </c>
      <c r="B8" s="92" t="s">
        <v>315</v>
      </c>
      <c r="C8" s="93"/>
      <c r="D8" s="93"/>
      <c r="E8" s="94">
        <f t="shared" ref="E8:E35" si="0">(C8)-(D8)</f>
        <v>0</v>
      </c>
      <c r="F8" s="95" t="str">
        <f t="shared" ref="F8:F35" si="1">IF(ABS((D8))=0,"",((C8)-(D8))/(ABS((D8))))</f>
        <v/>
      </c>
    </row>
    <row r="9" spans="1:6" x14ac:dyDescent="0.35">
      <c r="A9" t="str">
        <f>VLOOKUP(B9,Key!A:B,2,FALSE)</f>
        <v>Membership Dues</v>
      </c>
      <c r="B9" s="92" t="s">
        <v>316</v>
      </c>
      <c r="C9" s="94">
        <f>4812.9</f>
        <v>4812.8999999999996</v>
      </c>
      <c r="D9" s="94">
        <f>6627.81</f>
        <v>6627.81</v>
      </c>
      <c r="E9" s="94">
        <f t="shared" si="0"/>
        <v>-1814.9100000000008</v>
      </c>
      <c r="F9" s="95">
        <f t="shared" si="1"/>
        <v>-0.27383253291811332</v>
      </c>
    </row>
    <row r="10" spans="1:6" x14ac:dyDescent="0.35">
      <c r="A10" t="str">
        <f>VLOOKUP(B10,Key!A:B,2,FALSE)</f>
        <v>Membership Dues</v>
      </c>
      <c r="B10" s="92" t="s">
        <v>317</v>
      </c>
      <c r="C10" s="94">
        <f>51058.39</f>
        <v>51058.39</v>
      </c>
      <c r="D10" s="94">
        <f>48732.58</f>
        <v>48732.58</v>
      </c>
      <c r="E10" s="94">
        <f t="shared" si="0"/>
        <v>2325.8099999999977</v>
      </c>
      <c r="F10" s="95">
        <f t="shared" si="1"/>
        <v>4.7725977159427994E-2</v>
      </c>
    </row>
    <row r="11" spans="1:6" x14ac:dyDescent="0.35">
      <c r="A11" t="str">
        <f>VLOOKUP(B11,Key!A:B,2,FALSE)</f>
        <v>Membership Dues</v>
      </c>
      <c r="B11" s="92" t="s">
        <v>318</v>
      </c>
      <c r="C11" s="94">
        <f>38403.28</f>
        <v>38403.279999999999</v>
      </c>
      <c r="D11" s="94">
        <f>39270.83</f>
        <v>39270.83</v>
      </c>
      <c r="E11" s="94">
        <f t="shared" si="0"/>
        <v>-867.55000000000291</v>
      </c>
      <c r="F11" s="95">
        <f t="shared" si="1"/>
        <v>-2.2091460761078971E-2</v>
      </c>
    </row>
    <row r="12" spans="1:6" x14ac:dyDescent="0.35">
      <c r="A12" t="str">
        <f>VLOOKUP(B12,Key!A:B,2,FALSE)</f>
        <v>Membership Dues</v>
      </c>
      <c r="B12" s="92" t="s">
        <v>319</v>
      </c>
      <c r="C12" s="94">
        <f>44502.6</f>
        <v>44502.6</v>
      </c>
      <c r="D12" s="94">
        <f>37423.54</f>
        <v>37423.54</v>
      </c>
      <c r="E12" s="94">
        <f t="shared" si="0"/>
        <v>7079.0599999999977</v>
      </c>
      <c r="F12" s="95">
        <f t="shared" si="1"/>
        <v>0.18916061922522556</v>
      </c>
    </row>
    <row r="13" spans="1:6" x14ac:dyDescent="0.35">
      <c r="A13" t="str">
        <f>VLOOKUP(B13,Key!A:B,2,FALSE)</f>
        <v>Membership Dues</v>
      </c>
      <c r="B13" s="92" t="s">
        <v>320</v>
      </c>
      <c r="C13" s="94">
        <f>19843.75</f>
        <v>19843.75</v>
      </c>
      <c r="D13" s="94">
        <f>15125</f>
        <v>15125</v>
      </c>
      <c r="E13" s="94">
        <f t="shared" si="0"/>
        <v>4718.75</v>
      </c>
      <c r="F13" s="95">
        <f t="shared" si="1"/>
        <v>0.31198347107438018</v>
      </c>
    </row>
    <row r="14" spans="1:6" x14ac:dyDescent="0.35">
      <c r="A14" t="str">
        <f>VLOOKUP(B14,Key!A:B,2,FALSE)</f>
        <v>Membership Dues</v>
      </c>
      <c r="B14" s="92" t="s">
        <v>321</v>
      </c>
      <c r="C14" s="94">
        <f>31697.5</f>
        <v>31697.5</v>
      </c>
      <c r="D14" s="94">
        <f>30187.5</f>
        <v>30187.5</v>
      </c>
      <c r="E14" s="94">
        <f t="shared" si="0"/>
        <v>1510</v>
      </c>
      <c r="F14" s="95">
        <f t="shared" si="1"/>
        <v>5.0020703933747412E-2</v>
      </c>
    </row>
    <row r="15" spans="1:6" x14ac:dyDescent="0.35">
      <c r="A15" t="str">
        <f>VLOOKUP(B15,Key!A:B,2,FALSE)</f>
        <v>Membership Dues</v>
      </c>
      <c r="B15" s="92" t="s">
        <v>322</v>
      </c>
      <c r="C15" s="94">
        <f>7315</f>
        <v>7315</v>
      </c>
      <c r="D15" s="94">
        <f>7875</f>
        <v>7875</v>
      </c>
      <c r="E15" s="94">
        <f t="shared" si="0"/>
        <v>-560</v>
      </c>
      <c r="F15" s="95">
        <f t="shared" si="1"/>
        <v>-7.1111111111111111E-2</v>
      </c>
    </row>
    <row r="16" spans="1:6" x14ac:dyDescent="0.35">
      <c r="A16" t="str">
        <f>VLOOKUP(B16,Key!A:B,2,FALSE)</f>
        <v>Membership Dues</v>
      </c>
      <c r="B16" s="92" t="s">
        <v>323</v>
      </c>
      <c r="C16" s="94">
        <f>7427.1</f>
        <v>7427.1</v>
      </c>
      <c r="D16" s="94">
        <f>7427.08</f>
        <v>7427.08</v>
      </c>
      <c r="E16" s="94">
        <f t="shared" si="0"/>
        <v>2.0000000000436557E-2</v>
      </c>
      <c r="F16" s="95">
        <f t="shared" si="1"/>
        <v>2.6928483334549458E-6</v>
      </c>
    </row>
    <row r="17" spans="1:6" x14ac:dyDescent="0.35">
      <c r="A17" t="str">
        <f>VLOOKUP(B17,Key!A:B,2,FALSE)</f>
        <v>Membership Dues</v>
      </c>
      <c r="B17" s="92" t="s">
        <v>450</v>
      </c>
      <c r="C17" s="94">
        <f>345.85</f>
        <v>345.85</v>
      </c>
      <c r="D17" s="93"/>
      <c r="E17" s="94">
        <f t="shared" si="0"/>
        <v>345.85</v>
      </c>
      <c r="F17" s="95" t="str">
        <f t="shared" si="1"/>
        <v/>
      </c>
    </row>
    <row r="18" spans="1:6" x14ac:dyDescent="0.35">
      <c r="A18" t="e">
        <f>VLOOKUP(B18,Key!A:B,2,FALSE)</f>
        <v>#N/A</v>
      </c>
      <c r="B18" s="92" t="s">
        <v>324</v>
      </c>
      <c r="C18" s="96">
        <f>(((((((((C8)+(C9))+(C10))+(C11))+(C12))+(C13))+(C14))+(C15))+(C16))+(C17)</f>
        <v>205406.37000000002</v>
      </c>
      <c r="D18" s="96">
        <f>(((((((((D8)+(D9))+(D10))+(D11))+(D12))+(D13))+(D14))+(D15))+(D16))+(D17)</f>
        <v>192669.34</v>
      </c>
      <c r="E18" s="96">
        <f t="shared" si="0"/>
        <v>12737.030000000028</v>
      </c>
      <c r="F18" s="97">
        <f t="shared" si="1"/>
        <v>6.6108234968781376E-2</v>
      </c>
    </row>
    <row r="19" spans="1:6" x14ac:dyDescent="0.35">
      <c r="A19" t="str">
        <f>VLOOKUP(B19,Key!A:B,2,FALSE)</f>
        <v>Annual Meeting</v>
      </c>
      <c r="B19" s="92" t="s">
        <v>325</v>
      </c>
      <c r="C19" s="93"/>
      <c r="D19" s="93"/>
      <c r="E19" s="94">
        <f t="shared" si="0"/>
        <v>0</v>
      </c>
      <c r="F19" s="95" t="str">
        <f t="shared" si="1"/>
        <v/>
      </c>
    </row>
    <row r="20" spans="1:6" x14ac:dyDescent="0.35">
      <c r="A20" t="str">
        <f>VLOOKUP(B20,Key!A:B,2,FALSE)</f>
        <v>Annual Meeting</v>
      </c>
      <c r="B20" s="92" t="s">
        <v>326</v>
      </c>
      <c r="C20" s="93"/>
      <c r="D20" s="93"/>
      <c r="E20" s="94">
        <f t="shared" si="0"/>
        <v>0</v>
      </c>
      <c r="F20" s="95" t="str">
        <f t="shared" si="1"/>
        <v/>
      </c>
    </row>
    <row r="21" spans="1:6" x14ac:dyDescent="0.35">
      <c r="A21" t="str">
        <f>VLOOKUP(B21,Key!A:B,2,FALSE)</f>
        <v>Annual Meeting</v>
      </c>
      <c r="B21" s="92" t="s">
        <v>328</v>
      </c>
      <c r="C21" s="93"/>
      <c r="D21" s="94">
        <f>3800</f>
        <v>3800</v>
      </c>
      <c r="E21" s="94">
        <f t="shared" si="0"/>
        <v>-3800</v>
      </c>
      <c r="F21" s="95">
        <f t="shared" si="1"/>
        <v>-1</v>
      </c>
    </row>
    <row r="22" spans="1:6" x14ac:dyDescent="0.35">
      <c r="A22" t="e">
        <f>VLOOKUP(B22,Key!A:B,2,FALSE)</f>
        <v>#N/A</v>
      </c>
      <c r="B22" s="92" t="s">
        <v>329</v>
      </c>
      <c r="C22" s="96">
        <f>(C20)+(C21)</f>
        <v>0</v>
      </c>
      <c r="D22" s="96">
        <f>(D20)+(D21)</f>
        <v>3800</v>
      </c>
      <c r="E22" s="96">
        <f t="shared" si="0"/>
        <v>-3800</v>
      </c>
      <c r="F22" s="97">
        <f t="shared" si="1"/>
        <v>-1</v>
      </c>
    </row>
    <row r="23" spans="1:6" x14ac:dyDescent="0.35">
      <c r="A23" t="str">
        <f>VLOOKUP(B23,Key!A:B,2,FALSE)</f>
        <v>Other Education</v>
      </c>
      <c r="B23" s="92" t="s">
        <v>330</v>
      </c>
      <c r="C23" s="93"/>
      <c r="D23" s="93"/>
      <c r="E23" s="94">
        <f t="shared" si="0"/>
        <v>0</v>
      </c>
      <c r="F23" s="95" t="str">
        <f t="shared" si="1"/>
        <v/>
      </c>
    </row>
    <row r="24" spans="1:6" x14ac:dyDescent="0.35">
      <c r="A24" t="str">
        <f>VLOOKUP(B24,Key!A:B,2,FALSE)</f>
        <v>Other Education</v>
      </c>
      <c r="B24" s="92" t="s">
        <v>331</v>
      </c>
      <c r="C24" s="94">
        <f>18446</f>
        <v>18446</v>
      </c>
      <c r="D24" s="94">
        <f>24920</f>
        <v>24920</v>
      </c>
      <c r="E24" s="94">
        <f t="shared" si="0"/>
        <v>-6474</v>
      </c>
      <c r="F24" s="95">
        <f t="shared" si="1"/>
        <v>-0.25979133226324236</v>
      </c>
    </row>
    <row r="25" spans="1:6" x14ac:dyDescent="0.35">
      <c r="A25" t="e">
        <f>VLOOKUP(B25,Key!A:B,2,FALSE)</f>
        <v>#N/A</v>
      </c>
      <c r="B25" s="92" t="s">
        <v>332</v>
      </c>
      <c r="C25" s="96">
        <f>(C23)+(C24)</f>
        <v>18446</v>
      </c>
      <c r="D25" s="96">
        <f>(D23)+(D24)</f>
        <v>24920</v>
      </c>
      <c r="E25" s="96">
        <f t="shared" si="0"/>
        <v>-6474</v>
      </c>
      <c r="F25" s="97">
        <f t="shared" si="1"/>
        <v>-0.25979133226324236</v>
      </c>
    </row>
    <row r="26" spans="1:6" x14ac:dyDescent="0.35">
      <c r="A26" t="e">
        <f>VLOOKUP(B26,Key!A:B,2,FALSE)</f>
        <v>#N/A</v>
      </c>
      <c r="B26" s="92" t="s">
        <v>333</v>
      </c>
      <c r="C26" s="96">
        <f>((C19)+(C22))+(C25)</f>
        <v>18446</v>
      </c>
      <c r="D26" s="96">
        <f>((D19)+(D22))+(D25)</f>
        <v>28720</v>
      </c>
      <c r="E26" s="96">
        <f t="shared" si="0"/>
        <v>-10274</v>
      </c>
      <c r="F26" s="97">
        <f t="shared" si="1"/>
        <v>-0.35772980501392759</v>
      </c>
    </row>
    <row r="27" spans="1:6" x14ac:dyDescent="0.35">
      <c r="A27" t="str">
        <f>VLOOKUP(B27,Key!A:B,2,FALSE)</f>
        <v>Sponsorships</v>
      </c>
      <c r="B27" s="92" t="s">
        <v>334</v>
      </c>
      <c r="C27" s="94">
        <f>20800</f>
        <v>20800</v>
      </c>
      <c r="D27" s="94">
        <f>7075</f>
        <v>7075</v>
      </c>
      <c r="E27" s="94">
        <f t="shared" si="0"/>
        <v>13725</v>
      </c>
      <c r="F27" s="95">
        <f t="shared" si="1"/>
        <v>1.9399293286219081</v>
      </c>
    </row>
    <row r="28" spans="1:6" x14ac:dyDescent="0.35">
      <c r="A28" t="str">
        <f>VLOOKUP(B28,Key!A:B,2,FALSE)</f>
        <v>Other Revenue</v>
      </c>
      <c r="B28" s="92" t="s">
        <v>335</v>
      </c>
      <c r="C28" s="93"/>
      <c r="D28" s="93"/>
      <c r="E28" s="94">
        <f t="shared" si="0"/>
        <v>0</v>
      </c>
      <c r="F28" s="95" t="str">
        <f t="shared" si="1"/>
        <v/>
      </c>
    </row>
    <row r="29" spans="1:6" x14ac:dyDescent="0.35">
      <c r="A29" t="str">
        <f>VLOOKUP(B29,Key!A:B,2,FALSE)</f>
        <v>Other Revenue</v>
      </c>
      <c r="B29" s="92" t="s">
        <v>336</v>
      </c>
      <c r="C29" s="93"/>
      <c r="D29" s="94">
        <f>559</f>
        <v>559</v>
      </c>
      <c r="E29" s="94">
        <f t="shared" si="0"/>
        <v>-559</v>
      </c>
      <c r="F29" s="95">
        <f t="shared" si="1"/>
        <v>-1</v>
      </c>
    </row>
    <row r="30" spans="1:6" x14ac:dyDescent="0.35">
      <c r="A30" t="str">
        <f>VLOOKUP(B30,Key!A:B,2,FALSE)</f>
        <v>Other Revenue</v>
      </c>
      <c r="B30" s="92" t="s">
        <v>337</v>
      </c>
      <c r="C30" s="94">
        <f>163.4</f>
        <v>163.4</v>
      </c>
      <c r="D30" s="94">
        <f>799.5</f>
        <v>799.5</v>
      </c>
      <c r="E30" s="94">
        <f t="shared" si="0"/>
        <v>-636.1</v>
      </c>
      <c r="F30" s="95">
        <f t="shared" si="1"/>
        <v>-0.79562226391494684</v>
      </c>
    </row>
    <row r="31" spans="1:6" x14ac:dyDescent="0.35">
      <c r="A31" t="str">
        <f>VLOOKUP(B31,Key!A:B,2,FALSE)</f>
        <v>Other Revenue</v>
      </c>
      <c r="B31" s="92" t="s">
        <v>338</v>
      </c>
      <c r="C31" s="94">
        <f>877.27</f>
        <v>877.27</v>
      </c>
      <c r="D31" s="94">
        <f>1415.17</f>
        <v>1415.17</v>
      </c>
      <c r="E31" s="94">
        <f t="shared" si="0"/>
        <v>-537.90000000000009</v>
      </c>
      <c r="F31" s="95">
        <f t="shared" si="1"/>
        <v>-0.38009567755110696</v>
      </c>
    </row>
    <row r="32" spans="1:6" x14ac:dyDescent="0.35">
      <c r="A32" t="str">
        <f>VLOOKUP(B32,Key!A:B,2,FALSE)</f>
        <v>Other Revenue</v>
      </c>
      <c r="B32" s="92" t="s">
        <v>340</v>
      </c>
      <c r="C32" s="94">
        <f>50</f>
        <v>50</v>
      </c>
      <c r="D32" s="94">
        <f>1960.9</f>
        <v>1960.9</v>
      </c>
      <c r="E32" s="94">
        <f t="shared" si="0"/>
        <v>-1910.9</v>
      </c>
      <c r="F32" s="95">
        <f t="shared" si="1"/>
        <v>-0.97450150441123973</v>
      </c>
    </row>
    <row r="33" spans="1:6" x14ac:dyDescent="0.35">
      <c r="A33" t="e">
        <f>VLOOKUP(B33,Key!A:B,2,FALSE)</f>
        <v>#N/A</v>
      </c>
      <c r="B33" s="92" t="s">
        <v>341</v>
      </c>
      <c r="C33" s="96">
        <f>((((C28)+(C29))+(C30))+(C31))+(C32)</f>
        <v>1090.67</v>
      </c>
      <c r="D33" s="96">
        <f>((((D28)+(D29))+(D30))+(D31))+(D32)</f>
        <v>4734.57</v>
      </c>
      <c r="E33" s="96">
        <f t="shared" si="0"/>
        <v>-3643.8999999999996</v>
      </c>
      <c r="F33" s="97">
        <f t="shared" si="1"/>
        <v>-0.76963694696667273</v>
      </c>
    </row>
    <row r="34" spans="1:6" x14ac:dyDescent="0.35">
      <c r="A34" t="e">
        <f>VLOOKUP(B34,Key!A:B,2,FALSE)</f>
        <v>#N/A</v>
      </c>
      <c r="B34" s="92" t="s">
        <v>174</v>
      </c>
      <c r="C34" s="96">
        <f>(((C18)+(C26))+(C27))+(C33)</f>
        <v>245743.04000000004</v>
      </c>
      <c r="D34" s="96">
        <f>(((D18)+(D26))+(D27))+(D33)</f>
        <v>233198.91</v>
      </c>
      <c r="E34" s="96">
        <f t="shared" si="0"/>
        <v>12544.130000000034</v>
      </c>
      <c r="F34" s="97">
        <f t="shared" si="1"/>
        <v>5.3791546452768728E-2</v>
      </c>
    </row>
    <row r="35" spans="1:6" x14ac:dyDescent="0.35">
      <c r="A35" t="e">
        <f>VLOOKUP(B35,Key!A:B,2,FALSE)</f>
        <v>#N/A</v>
      </c>
      <c r="B35" s="92" t="s">
        <v>20</v>
      </c>
      <c r="C35" s="96">
        <f>(C34)-(0)</f>
        <v>245743.04000000004</v>
      </c>
      <c r="D35" s="96">
        <f>(D34)-(0)</f>
        <v>233198.91</v>
      </c>
      <c r="E35" s="96">
        <f t="shared" si="0"/>
        <v>12544.130000000034</v>
      </c>
      <c r="F35" s="97">
        <f t="shared" si="1"/>
        <v>5.3791546452768728E-2</v>
      </c>
    </row>
    <row r="36" spans="1:6" x14ac:dyDescent="0.35">
      <c r="A36" t="e">
        <f>VLOOKUP(B36,Key!A:B,2,FALSE)</f>
        <v>#N/A</v>
      </c>
      <c r="B36" s="92" t="s">
        <v>175</v>
      </c>
      <c r="C36" s="93"/>
      <c r="D36" s="93"/>
      <c r="E36" s="93"/>
      <c r="F36" s="93"/>
    </row>
    <row r="37" spans="1:6" x14ac:dyDescent="0.35">
      <c r="A37" t="str">
        <f>VLOOKUP(B37,Key!A:B,2,FALSE)</f>
        <v>Event Expenses</v>
      </c>
      <c r="B37" s="92" t="s">
        <v>342</v>
      </c>
      <c r="C37" s="93"/>
      <c r="D37" s="93"/>
      <c r="E37" s="94">
        <f t="shared" ref="E37:E76" si="2">(C37)-(D37)</f>
        <v>0</v>
      </c>
      <c r="F37" s="95" t="str">
        <f t="shared" ref="F37:F76" si="3">IF(ABS((D37))=0,"",((C37)-(D37))/(ABS((D37))))</f>
        <v/>
      </c>
    </row>
    <row r="38" spans="1:6" x14ac:dyDescent="0.35">
      <c r="A38" t="str">
        <f>VLOOKUP(B38,Key!A:B,2,FALSE)</f>
        <v>Event Expenses</v>
      </c>
      <c r="B38" s="92" t="s">
        <v>343</v>
      </c>
      <c r="C38" s="94">
        <f>714.01</f>
        <v>714.01</v>
      </c>
      <c r="D38" s="94">
        <f>700</f>
        <v>700</v>
      </c>
      <c r="E38" s="94">
        <f t="shared" si="2"/>
        <v>14.009999999999991</v>
      </c>
      <c r="F38" s="95">
        <f t="shared" si="3"/>
        <v>2.00142857142857E-2</v>
      </c>
    </row>
    <row r="39" spans="1:6" x14ac:dyDescent="0.35">
      <c r="A39" t="str">
        <f>VLOOKUP(B39,Key!A:B,2,FALSE)</f>
        <v>Event Expenses</v>
      </c>
      <c r="B39" s="92" t="s">
        <v>452</v>
      </c>
      <c r="C39" s="94">
        <f>6750</f>
        <v>6750</v>
      </c>
      <c r="D39" s="93"/>
      <c r="E39" s="94">
        <f t="shared" si="2"/>
        <v>6750</v>
      </c>
      <c r="F39" s="95" t="str">
        <f t="shared" si="3"/>
        <v/>
      </c>
    </row>
    <row r="40" spans="1:6" x14ac:dyDescent="0.35">
      <c r="A40" t="str">
        <f>VLOOKUP(B40,Key!A:B,2,FALSE)</f>
        <v>Event Expenses</v>
      </c>
      <c r="B40" s="92" t="s">
        <v>344</v>
      </c>
      <c r="C40" s="94">
        <f>7024.26</f>
        <v>7024.26</v>
      </c>
      <c r="D40" s="94">
        <f>12154.95</f>
        <v>12154.95</v>
      </c>
      <c r="E40" s="94">
        <f t="shared" si="2"/>
        <v>-5130.6900000000005</v>
      </c>
      <c r="F40" s="95">
        <f t="shared" si="3"/>
        <v>-0.4221070428097195</v>
      </c>
    </row>
    <row r="41" spans="1:6" x14ac:dyDescent="0.35">
      <c r="A41" t="e">
        <f>VLOOKUP(B41,Key!A:B,2,FALSE)</f>
        <v>#N/A</v>
      </c>
      <c r="B41" s="92" t="s">
        <v>345</v>
      </c>
      <c r="C41" s="96">
        <f>(((C37)+(C38))+(C39))+(C40)</f>
        <v>14488.27</v>
      </c>
      <c r="D41" s="96">
        <f>(((D37)+(D38))+(D39))+(D40)</f>
        <v>12854.95</v>
      </c>
      <c r="E41" s="96">
        <f t="shared" si="2"/>
        <v>1633.3199999999997</v>
      </c>
      <c r="F41" s="97">
        <f t="shared" si="3"/>
        <v>0.12705767039156118</v>
      </c>
    </row>
    <row r="42" spans="1:6" x14ac:dyDescent="0.35">
      <c r="A42" t="str">
        <f>VLOOKUP(B42,Key!A:B,2,FALSE)</f>
        <v>Payroll &amp; Benefits</v>
      </c>
      <c r="B42" s="92" t="s">
        <v>346</v>
      </c>
      <c r="C42" s="93"/>
      <c r="D42" s="93"/>
      <c r="E42" s="94">
        <f t="shared" si="2"/>
        <v>0</v>
      </c>
      <c r="F42" s="95" t="str">
        <f t="shared" si="3"/>
        <v/>
      </c>
    </row>
    <row r="43" spans="1:6" x14ac:dyDescent="0.35">
      <c r="A43" t="str">
        <f>VLOOKUP(B43,Key!A:B,2,FALSE)</f>
        <v>Payroll &amp; Benefits</v>
      </c>
      <c r="B43" s="92" t="s">
        <v>347</v>
      </c>
      <c r="C43" s="94">
        <f>156100.69</f>
        <v>156100.69</v>
      </c>
      <c r="D43" s="94">
        <f>144867.73</f>
        <v>144867.73000000001</v>
      </c>
      <c r="E43" s="94">
        <f t="shared" si="2"/>
        <v>11232.959999999992</v>
      </c>
      <c r="F43" s="95">
        <f t="shared" si="3"/>
        <v>7.7539421650356433E-2</v>
      </c>
    </row>
    <row r="44" spans="1:6" x14ac:dyDescent="0.35">
      <c r="A44" t="str">
        <f>VLOOKUP(B44,Key!A:B,2,FALSE)</f>
        <v>Payroll &amp; Benefits</v>
      </c>
      <c r="B44" s="92" t="s">
        <v>348</v>
      </c>
      <c r="C44" s="94">
        <f>12509.37</f>
        <v>12509.37</v>
      </c>
      <c r="D44" s="94">
        <f>12118.73</f>
        <v>12118.73</v>
      </c>
      <c r="E44" s="94">
        <f t="shared" si="2"/>
        <v>390.64000000000124</v>
      </c>
      <c r="F44" s="95">
        <f t="shared" si="3"/>
        <v>3.2234400799423808E-2</v>
      </c>
    </row>
    <row r="45" spans="1:6" x14ac:dyDescent="0.35">
      <c r="A45" t="str">
        <f>VLOOKUP(B45,Key!A:B,2,FALSE)</f>
        <v>Payroll &amp; Benefits</v>
      </c>
      <c r="B45" s="92" t="s">
        <v>349</v>
      </c>
      <c r="C45" s="94">
        <f>14766.27</f>
        <v>14766.27</v>
      </c>
      <c r="D45" s="94">
        <f>17196.3</f>
        <v>17196.3</v>
      </c>
      <c r="E45" s="94">
        <f t="shared" si="2"/>
        <v>-2430.0299999999988</v>
      </c>
      <c r="F45" s="95">
        <f t="shared" si="3"/>
        <v>-0.1413112122956682</v>
      </c>
    </row>
    <row r="46" spans="1:6" x14ac:dyDescent="0.35">
      <c r="A46" t="str">
        <f>VLOOKUP(B46,Key!A:B,2,FALSE)</f>
        <v>Payroll &amp; Benefits</v>
      </c>
      <c r="B46" s="92" t="s">
        <v>350</v>
      </c>
      <c r="C46" s="94">
        <f>4759.15</f>
        <v>4759.1499999999996</v>
      </c>
      <c r="D46" s="93"/>
      <c r="E46" s="94">
        <f t="shared" si="2"/>
        <v>4759.1499999999996</v>
      </c>
      <c r="F46" s="95" t="str">
        <f t="shared" si="3"/>
        <v/>
      </c>
    </row>
    <row r="47" spans="1:6" x14ac:dyDescent="0.35">
      <c r="A47" t="str">
        <f>VLOOKUP(B47,Key!A:B,2,FALSE)</f>
        <v>Payroll &amp; Benefits</v>
      </c>
      <c r="B47" s="92" t="s">
        <v>351</v>
      </c>
      <c r="C47" s="94">
        <f>1994.6</f>
        <v>1994.6</v>
      </c>
      <c r="D47" s="94">
        <f>657.5</f>
        <v>657.5</v>
      </c>
      <c r="E47" s="94">
        <f t="shared" si="2"/>
        <v>1337.1</v>
      </c>
      <c r="F47" s="95">
        <f t="shared" si="3"/>
        <v>2.03361216730038</v>
      </c>
    </row>
    <row r="48" spans="1:6" x14ac:dyDescent="0.35">
      <c r="A48" t="str">
        <f>VLOOKUP(B48,Key!A:B,2,FALSE)</f>
        <v>Payroll &amp; Benefits</v>
      </c>
      <c r="B48" s="92" t="s">
        <v>448</v>
      </c>
      <c r="C48" s="93"/>
      <c r="D48" s="94">
        <f>0.01</f>
        <v>0.01</v>
      </c>
      <c r="E48" s="94">
        <f t="shared" si="2"/>
        <v>-0.01</v>
      </c>
      <c r="F48" s="95">
        <f t="shared" si="3"/>
        <v>-1</v>
      </c>
    </row>
    <row r="49" spans="1:9" x14ac:dyDescent="0.35">
      <c r="A49" t="e">
        <f>VLOOKUP(B49,Key!A:B,2,FALSE)</f>
        <v>#N/A</v>
      </c>
      <c r="B49" s="92" t="s">
        <v>352</v>
      </c>
      <c r="C49" s="96">
        <f>((((((C42)+(C43))+(C44))+(C45))+(C46))+(C47))+(C48)</f>
        <v>190130.08</v>
      </c>
      <c r="D49" s="96">
        <f>((((((D42)+(D43))+(D44))+(D45))+(D46))+(D47))+(D48)</f>
        <v>174840.27000000002</v>
      </c>
      <c r="E49" s="96">
        <f t="shared" si="2"/>
        <v>15289.809999999969</v>
      </c>
      <c r="F49" s="97">
        <f t="shared" si="3"/>
        <v>8.7450162368200232E-2</v>
      </c>
    </row>
    <row r="50" spans="1:9" x14ac:dyDescent="0.35">
      <c r="A50" t="str">
        <f>VLOOKUP(B50,Key!A:B,2,FALSE)</f>
        <v>Professional Services</v>
      </c>
      <c r="B50" s="92" t="s">
        <v>353</v>
      </c>
      <c r="C50" s="93"/>
      <c r="D50" s="93"/>
      <c r="E50" s="94">
        <f t="shared" si="2"/>
        <v>0</v>
      </c>
      <c r="F50" s="95" t="str">
        <f t="shared" si="3"/>
        <v/>
      </c>
    </row>
    <row r="51" spans="1:9" x14ac:dyDescent="0.35">
      <c r="A51" t="str">
        <f>VLOOKUP(B51,Key!A:B,2,FALSE)</f>
        <v>Professional Services</v>
      </c>
      <c r="B51" s="92" t="s">
        <v>453</v>
      </c>
      <c r="C51" s="94">
        <f>175</f>
        <v>175</v>
      </c>
      <c r="D51" s="94">
        <f>50</f>
        <v>50</v>
      </c>
      <c r="E51" s="94">
        <f t="shared" si="2"/>
        <v>125</v>
      </c>
      <c r="F51" s="95">
        <f t="shared" si="3"/>
        <v>2.5</v>
      </c>
    </row>
    <row r="52" spans="1:9" x14ac:dyDescent="0.35">
      <c r="A52" t="str">
        <f>VLOOKUP(B52,Key!A:B,2,FALSE)</f>
        <v>Professional Services</v>
      </c>
      <c r="B52" s="92" t="s">
        <v>354</v>
      </c>
      <c r="C52" s="94">
        <f>33300</f>
        <v>33300</v>
      </c>
      <c r="D52" s="94">
        <f>32500</f>
        <v>32500</v>
      </c>
      <c r="E52" s="94">
        <f t="shared" si="2"/>
        <v>800</v>
      </c>
      <c r="F52" s="95">
        <f t="shared" si="3"/>
        <v>2.4615384615384615E-2</v>
      </c>
    </row>
    <row r="53" spans="1:9" x14ac:dyDescent="0.35">
      <c r="A53" t="str">
        <f>VLOOKUP(B53,Key!A:B,2,FALSE)</f>
        <v>Professional Services</v>
      </c>
      <c r="B53" s="92" t="s">
        <v>356</v>
      </c>
      <c r="C53" s="94">
        <f>34589.13</f>
        <v>34589.129999999997</v>
      </c>
      <c r="D53" s="94">
        <f>3983.5</f>
        <v>3983.5</v>
      </c>
      <c r="E53" s="94">
        <f t="shared" si="2"/>
        <v>30605.629999999997</v>
      </c>
      <c r="F53" s="95">
        <f t="shared" si="3"/>
        <v>7.6831002886908495</v>
      </c>
    </row>
    <row r="54" spans="1:9" x14ac:dyDescent="0.35">
      <c r="A54" t="str">
        <f>VLOOKUP(B54,Key!A:B,2,FALSE)</f>
        <v>Professional Services</v>
      </c>
      <c r="B54" s="92" t="s">
        <v>357</v>
      </c>
      <c r="C54" s="94">
        <f>170</f>
        <v>170</v>
      </c>
      <c r="D54" s="94">
        <f>425</f>
        <v>425</v>
      </c>
      <c r="E54" s="94">
        <f t="shared" si="2"/>
        <v>-255</v>
      </c>
      <c r="F54" s="95">
        <f t="shared" si="3"/>
        <v>-0.6</v>
      </c>
    </row>
    <row r="55" spans="1:9" x14ac:dyDescent="0.35">
      <c r="A55" t="e">
        <f>VLOOKUP(B55,Key!A:B,2,FALSE)</f>
        <v>#N/A</v>
      </c>
      <c r="B55" s="92" t="s">
        <v>358</v>
      </c>
      <c r="C55" s="96">
        <f>((((C50)+(C51))+(C52))+(C53))+(C54)</f>
        <v>68234.13</v>
      </c>
      <c r="D55" s="96">
        <f>((((D50)+(D51))+(D52))+(D53))+(D54)</f>
        <v>36958.5</v>
      </c>
      <c r="E55" s="96">
        <f t="shared" si="2"/>
        <v>31275.630000000005</v>
      </c>
      <c r="F55" s="97">
        <f t="shared" si="3"/>
        <v>0.84623645440155859</v>
      </c>
    </row>
    <row r="56" spans="1:9" x14ac:dyDescent="0.35">
      <c r="A56" t="str">
        <f>VLOOKUP(B56,Key!A:B,2,FALSE)</f>
        <v>Other Operating Expenses</v>
      </c>
      <c r="B56" s="92" t="s">
        <v>359</v>
      </c>
      <c r="C56" s="93"/>
      <c r="D56" s="94">
        <f>64.19</f>
        <v>64.19</v>
      </c>
      <c r="E56" s="94">
        <f t="shared" si="2"/>
        <v>-64.19</v>
      </c>
      <c r="F56" s="95">
        <f t="shared" si="3"/>
        <v>-1</v>
      </c>
    </row>
    <row r="57" spans="1:9" x14ac:dyDescent="0.35">
      <c r="A57" t="str">
        <f>VLOOKUP(B57,Key!A:B,2,FALSE)</f>
        <v>Other Operating Expenses</v>
      </c>
      <c r="B57" s="92" t="s">
        <v>360</v>
      </c>
      <c r="C57" s="94">
        <f>191.17</f>
        <v>191.17</v>
      </c>
      <c r="D57" s="94">
        <f>56.53</f>
        <v>56.53</v>
      </c>
      <c r="E57" s="94">
        <f t="shared" si="2"/>
        <v>134.63999999999999</v>
      </c>
      <c r="F57" s="95">
        <f t="shared" si="3"/>
        <v>2.3817442066159558</v>
      </c>
    </row>
    <row r="58" spans="1:9" x14ac:dyDescent="0.35">
      <c r="A58" t="str">
        <f>VLOOKUP(B58,Key!A:B,2,FALSE)</f>
        <v>Other Operating Expenses</v>
      </c>
      <c r="B58" s="92" t="s">
        <v>361</v>
      </c>
      <c r="C58" s="94">
        <f>797.82</f>
        <v>797.82</v>
      </c>
      <c r="D58" s="94">
        <f>393.82</f>
        <v>393.82</v>
      </c>
      <c r="E58" s="94">
        <f t="shared" si="2"/>
        <v>404.00000000000006</v>
      </c>
      <c r="F58" s="95">
        <f t="shared" si="3"/>
        <v>1.0258493728099134</v>
      </c>
    </row>
    <row r="59" spans="1:9" x14ac:dyDescent="0.35">
      <c r="A59" t="e">
        <f>VLOOKUP(B59,Key!A:B,2,FALSE)</f>
        <v>#N/A</v>
      </c>
      <c r="B59" s="92" t="s">
        <v>363</v>
      </c>
      <c r="C59" s="96">
        <f>((C56)+(C57))+(C58)</f>
        <v>988.99</v>
      </c>
      <c r="D59" s="96">
        <f>((D56)+(D57))+(D58)</f>
        <v>514.54</v>
      </c>
      <c r="E59" s="96">
        <f t="shared" si="2"/>
        <v>474.45000000000005</v>
      </c>
      <c r="F59" s="97">
        <f t="shared" si="3"/>
        <v>0.92208574649201247</v>
      </c>
    </row>
    <row r="60" spans="1:9" x14ac:dyDescent="0.35">
      <c r="A60" t="str">
        <f>VLOOKUP(B60,Key!A:B,2,FALSE)</f>
        <v>Other Operating Expenses</v>
      </c>
      <c r="B60" s="92" t="s">
        <v>364</v>
      </c>
      <c r="C60" s="93"/>
      <c r="D60" s="93"/>
      <c r="E60" s="94">
        <f t="shared" si="2"/>
        <v>0</v>
      </c>
      <c r="F60" s="95" t="str">
        <f t="shared" si="3"/>
        <v/>
      </c>
      <c r="I60" s="61"/>
    </row>
    <row r="61" spans="1:9" x14ac:dyDescent="0.35">
      <c r="A61" t="str">
        <f>VLOOKUP(B61,Key!A:B,2,FALSE)</f>
        <v>Other Operating Expenses</v>
      </c>
      <c r="B61" s="92" t="s">
        <v>366</v>
      </c>
      <c r="C61" s="94">
        <f>4051.97</f>
        <v>4051.97</v>
      </c>
      <c r="D61" s="94">
        <f>7370.08</f>
        <v>7370.08</v>
      </c>
      <c r="E61" s="94">
        <f t="shared" si="2"/>
        <v>-3318.11</v>
      </c>
      <c r="F61" s="95">
        <f t="shared" si="3"/>
        <v>-0.45021356620280922</v>
      </c>
      <c r="I61" s="61"/>
    </row>
    <row r="62" spans="1:9" x14ac:dyDescent="0.35">
      <c r="A62" t="str">
        <f>VLOOKUP(B62,Key!A:B,2,FALSE)</f>
        <v>Other Operating Expenses</v>
      </c>
      <c r="B62" s="92" t="s">
        <v>367</v>
      </c>
      <c r="C62" s="94">
        <f>1563.02</f>
        <v>1563.02</v>
      </c>
      <c r="D62" s="94">
        <f>988.03</f>
        <v>988.03</v>
      </c>
      <c r="E62" s="94">
        <f t="shared" si="2"/>
        <v>574.99</v>
      </c>
      <c r="F62" s="95">
        <f t="shared" si="3"/>
        <v>0.58195601348137205</v>
      </c>
      <c r="I62" s="62"/>
    </row>
    <row r="63" spans="1:9" x14ac:dyDescent="0.35">
      <c r="A63" t="str">
        <f>VLOOKUP(B63,Key!A:B,2,FALSE)</f>
        <v>Other Operating Expenses</v>
      </c>
      <c r="B63" s="92" t="s">
        <v>368</v>
      </c>
      <c r="C63" s="94">
        <f>937</f>
        <v>937</v>
      </c>
      <c r="D63" s="94">
        <f>3017.19</f>
        <v>3017.19</v>
      </c>
      <c r="E63" s="94">
        <f t="shared" si="2"/>
        <v>-2080.19</v>
      </c>
      <c r="F63" s="95">
        <f t="shared" si="3"/>
        <v>-0.68944614028284601</v>
      </c>
    </row>
    <row r="64" spans="1:9" x14ac:dyDescent="0.35">
      <c r="A64" t="str">
        <f>VLOOKUP(B64,Key!A:B,2,FALSE)</f>
        <v>Other Operating Expenses</v>
      </c>
      <c r="B64" s="92" t="s">
        <v>369</v>
      </c>
      <c r="C64" s="94">
        <f>1395</f>
        <v>1395</v>
      </c>
      <c r="D64" s="94">
        <f>800</f>
        <v>800</v>
      </c>
      <c r="E64" s="94">
        <f t="shared" si="2"/>
        <v>595</v>
      </c>
      <c r="F64" s="95">
        <f t="shared" si="3"/>
        <v>0.74375000000000002</v>
      </c>
    </row>
    <row r="65" spans="1:6" x14ac:dyDescent="0.35">
      <c r="A65" t="str">
        <f>VLOOKUP(B65,Key!A:B,2,FALSE)</f>
        <v>Other Operating Expenses</v>
      </c>
      <c r="B65" s="92" t="s">
        <v>370</v>
      </c>
      <c r="C65" s="93"/>
      <c r="D65" s="94">
        <f>589.49</f>
        <v>589.49</v>
      </c>
      <c r="E65" s="94">
        <f t="shared" si="2"/>
        <v>-589.49</v>
      </c>
      <c r="F65" s="95">
        <f t="shared" si="3"/>
        <v>-1</v>
      </c>
    </row>
    <row r="66" spans="1:6" x14ac:dyDescent="0.35">
      <c r="A66" t="str">
        <f>VLOOKUP(B66,Key!A:B,2,FALSE)</f>
        <v>Other Operating Expenses</v>
      </c>
      <c r="B66" s="92" t="s">
        <v>371</v>
      </c>
      <c r="C66" s="94">
        <f>1433.7</f>
        <v>1433.7</v>
      </c>
      <c r="D66" s="94">
        <f>1748</f>
        <v>1748</v>
      </c>
      <c r="E66" s="94">
        <f t="shared" si="2"/>
        <v>-314.29999999999995</v>
      </c>
      <c r="F66" s="95">
        <f t="shared" si="3"/>
        <v>-0.17980549199084667</v>
      </c>
    </row>
    <row r="67" spans="1:6" x14ac:dyDescent="0.35">
      <c r="A67" t="str">
        <f>VLOOKUP(B67,Key!A:B,2,FALSE)</f>
        <v>Other Operating Expenses</v>
      </c>
      <c r="B67" s="92" t="s">
        <v>372</v>
      </c>
      <c r="C67" s="94">
        <f>227.05</f>
        <v>227.05</v>
      </c>
      <c r="D67" s="94">
        <f>4187.04</f>
        <v>4187.04</v>
      </c>
      <c r="E67" s="94">
        <f t="shared" si="2"/>
        <v>-3959.99</v>
      </c>
      <c r="F67" s="95">
        <f t="shared" si="3"/>
        <v>-0.94577314761740983</v>
      </c>
    </row>
    <row r="68" spans="1:6" x14ac:dyDescent="0.35">
      <c r="A68" t="str">
        <f>VLOOKUP(B68,Key!A:B,2,FALSE)</f>
        <v>Other Operating Expenses</v>
      </c>
      <c r="B68" s="92" t="s">
        <v>374</v>
      </c>
      <c r="C68" s="94">
        <f>6724</f>
        <v>6724</v>
      </c>
      <c r="D68" s="94">
        <f>6560</f>
        <v>6560</v>
      </c>
      <c r="E68" s="94">
        <f t="shared" si="2"/>
        <v>164</v>
      </c>
      <c r="F68" s="95">
        <f t="shared" si="3"/>
        <v>2.5000000000000001E-2</v>
      </c>
    </row>
    <row r="69" spans="1:6" x14ac:dyDescent="0.35">
      <c r="A69" t="str">
        <f>VLOOKUP(B69,Key!A:B,2,FALSE)</f>
        <v>Other Operating Expenses</v>
      </c>
      <c r="B69" s="92" t="s">
        <v>375</v>
      </c>
      <c r="C69" s="94">
        <f>593.71</f>
        <v>593.71</v>
      </c>
      <c r="D69" s="94">
        <f>684.66</f>
        <v>684.66</v>
      </c>
      <c r="E69" s="94">
        <f t="shared" si="2"/>
        <v>-90.949999999999932</v>
      </c>
      <c r="F69" s="95">
        <f t="shared" si="3"/>
        <v>-0.13283965764028852</v>
      </c>
    </row>
    <row r="70" spans="1:6" x14ac:dyDescent="0.35">
      <c r="A70" t="str">
        <f>VLOOKUP(B70,Key!A:B,2,FALSE)</f>
        <v>Other Operating Expenses</v>
      </c>
      <c r="B70" s="92" t="s">
        <v>376</v>
      </c>
      <c r="C70" s="94">
        <f>426.64</f>
        <v>426.64</v>
      </c>
      <c r="D70" s="94">
        <f>166.7</f>
        <v>166.7</v>
      </c>
      <c r="E70" s="94">
        <f t="shared" si="2"/>
        <v>259.94</v>
      </c>
      <c r="F70" s="95">
        <f t="shared" si="3"/>
        <v>1.5593281343731256</v>
      </c>
    </row>
    <row r="71" spans="1:6" x14ac:dyDescent="0.35">
      <c r="A71" t="str">
        <f>VLOOKUP(B71,Key!A:B,2,FALSE)</f>
        <v>Other Operating Expenses</v>
      </c>
      <c r="B71" s="92" t="s">
        <v>377</v>
      </c>
      <c r="C71" s="94">
        <f>35.16</f>
        <v>35.159999999999997</v>
      </c>
      <c r="D71" s="94">
        <f>62.3</f>
        <v>62.3</v>
      </c>
      <c r="E71" s="94">
        <f t="shared" si="2"/>
        <v>-27.14</v>
      </c>
      <c r="F71" s="95">
        <f t="shared" si="3"/>
        <v>-0.43563402889245589</v>
      </c>
    </row>
    <row r="72" spans="1:6" x14ac:dyDescent="0.35">
      <c r="A72" t="str">
        <f>VLOOKUP(B72,Key!A:B,2,FALSE)</f>
        <v>Other Operating Expenses</v>
      </c>
      <c r="B72" s="92" t="s">
        <v>449</v>
      </c>
      <c r="C72" s="93"/>
      <c r="D72" s="94">
        <f>236.08</f>
        <v>236.08</v>
      </c>
      <c r="E72" s="94">
        <f t="shared" si="2"/>
        <v>-236.08</v>
      </c>
      <c r="F72" s="95">
        <f t="shared" si="3"/>
        <v>-1</v>
      </c>
    </row>
    <row r="73" spans="1:6" x14ac:dyDescent="0.35">
      <c r="A73" t="str">
        <f>VLOOKUP(B73,Key!A:B,2,FALSE)</f>
        <v>Other Operating Expenses</v>
      </c>
      <c r="B73" s="92" t="s">
        <v>379</v>
      </c>
      <c r="C73" s="94">
        <f>5134.6</f>
        <v>5134.6000000000004</v>
      </c>
      <c r="D73" s="94">
        <f>1100</f>
        <v>1100</v>
      </c>
      <c r="E73" s="94">
        <f t="shared" si="2"/>
        <v>4034.6000000000004</v>
      </c>
      <c r="F73" s="95">
        <f t="shared" si="3"/>
        <v>3.6678181818181823</v>
      </c>
    </row>
    <row r="74" spans="1:6" x14ac:dyDescent="0.35">
      <c r="A74" t="e">
        <f>VLOOKUP(B74,Key!A:B,2,FALSE)</f>
        <v>#N/A</v>
      </c>
      <c r="B74" s="92" t="s">
        <v>380</v>
      </c>
      <c r="C74" s="96">
        <f>(((((((((((((C60)+(C61))+(C62))+(C63))+(C64))+(C65))+(C66))+(C67))+(C68))+(C69))+(C70))+(C71))+(C72))+(C73)</f>
        <v>22521.85</v>
      </c>
      <c r="D74" s="96">
        <f>(((((((((((((D60)+(D61))+(D62))+(D63))+(D64))+(D65))+(D66))+(D67))+(D68))+(D69))+(D70))+(D71))+(D72))+(D73)</f>
        <v>27509.570000000003</v>
      </c>
      <c r="E74" s="96">
        <f t="shared" si="2"/>
        <v>-4987.7200000000048</v>
      </c>
      <c r="F74" s="97">
        <f t="shared" si="3"/>
        <v>-0.18130854099137153</v>
      </c>
    </row>
    <row r="75" spans="1:6" x14ac:dyDescent="0.35">
      <c r="A75" t="e">
        <f>VLOOKUP(B75,Key!A:B,2,FALSE)</f>
        <v>#N/A</v>
      </c>
      <c r="B75" s="92" t="s">
        <v>176</v>
      </c>
      <c r="C75" s="96">
        <f>((((C41)+(C49))+(C55))+(C59))+(C74)</f>
        <v>296363.31999999995</v>
      </c>
      <c r="D75" s="96">
        <f>((((D41)+(D49))+(D55))+(D59))+(D74)</f>
        <v>252677.83000000005</v>
      </c>
      <c r="E75" s="96">
        <f t="shared" si="2"/>
        <v>43685.489999999903</v>
      </c>
      <c r="F75" s="97">
        <f t="shared" si="3"/>
        <v>0.17289007903859194</v>
      </c>
    </row>
    <row r="76" spans="1:6" x14ac:dyDescent="0.35">
      <c r="A76" t="e">
        <f>VLOOKUP(B76,Key!A:B,2,FALSE)</f>
        <v>#N/A</v>
      </c>
      <c r="B76" s="92" t="s">
        <v>177</v>
      </c>
      <c r="C76" s="96">
        <f>(C35)-(C75)</f>
        <v>-50620.279999999912</v>
      </c>
      <c r="D76" s="96">
        <f>(D35)-(D75)</f>
        <v>-19478.920000000042</v>
      </c>
      <c r="E76" s="96">
        <f t="shared" si="2"/>
        <v>-31141.35999999987</v>
      </c>
      <c r="F76" s="97">
        <f t="shared" si="3"/>
        <v>-1.598721078992049</v>
      </c>
    </row>
    <row r="77" spans="1:6" x14ac:dyDescent="0.35">
      <c r="A77" t="e">
        <f>VLOOKUP(B77,Key!A:B,2,FALSE)</f>
        <v>#N/A</v>
      </c>
      <c r="B77" s="92" t="s">
        <v>178</v>
      </c>
      <c r="C77" s="93"/>
      <c r="D77" s="93"/>
      <c r="E77" s="93"/>
      <c r="F77" s="93"/>
    </row>
    <row r="78" spans="1:6" x14ac:dyDescent="0.35">
      <c r="A78" t="str">
        <f>VLOOKUP(B78,Key!A:B,2,FALSE)</f>
        <v>Investment Income (Loss)</v>
      </c>
      <c r="B78" s="92" t="s">
        <v>381</v>
      </c>
      <c r="C78" s="94">
        <f>0</f>
        <v>0</v>
      </c>
      <c r="D78" s="94">
        <f>3861.05</f>
        <v>3861.05</v>
      </c>
      <c r="E78" s="94">
        <f>(C78)-(D78)</f>
        <v>-3861.05</v>
      </c>
      <c r="F78" s="95">
        <f>IF(ABS((D78))=0,"",((C78)-(D78))/(ABS((D78))))</f>
        <v>-1</v>
      </c>
    </row>
    <row r="79" spans="1:6" x14ac:dyDescent="0.35">
      <c r="A79" t="str">
        <f>VLOOKUP(B79,Key!A:B,2,FALSE)</f>
        <v>Interest Income</v>
      </c>
      <c r="B79" s="92" t="s">
        <v>382</v>
      </c>
      <c r="C79" s="94">
        <f>4555.88</f>
        <v>4555.88</v>
      </c>
      <c r="D79" s="94">
        <f>3009.8</f>
        <v>3009.8</v>
      </c>
      <c r="E79" s="94">
        <f>(C79)-(D79)</f>
        <v>1546.08</v>
      </c>
      <c r="F79" s="95">
        <f>IF(ABS((D79))=0,"",((C79)-(D79))/(ABS((D79))))</f>
        <v>0.51368197222406797</v>
      </c>
    </row>
    <row r="80" spans="1:6" x14ac:dyDescent="0.35">
      <c r="A80" t="str">
        <f>VLOOKUP(B80,Key!A:B,2,FALSE)</f>
        <v>Investment Income (Loss)</v>
      </c>
      <c r="B80" s="92" t="s">
        <v>383</v>
      </c>
      <c r="C80" s="94">
        <f>30935.73</f>
        <v>30935.73</v>
      </c>
      <c r="D80" s="94">
        <f>4303.82</f>
        <v>4303.82</v>
      </c>
      <c r="E80" s="94">
        <f>(C80)-(D80)</f>
        <v>26631.91</v>
      </c>
      <c r="F80" s="95">
        <f>IF(ABS((D80))=0,"",((C80)-(D80))/(ABS((D80))))</f>
        <v>6.1879702218029564</v>
      </c>
    </row>
    <row r="81" spans="1:6" x14ac:dyDescent="0.35">
      <c r="A81" t="e">
        <f>VLOOKUP(B81,Key!A:B,2,FALSE)</f>
        <v>#N/A</v>
      </c>
      <c r="B81" s="92" t="s">
        <v>180</v>
      </c>
      <c r="C81" s="96">
        <f>((C78)+(C79))+(C80)</f>
        <v>35491.61</v>
      </c>
      <c r="D81" s="96">
        <f>((D78)+(D79))+(D80)</f>
        <v>11174.67</v>
      </c>
      <c r="E81" s="96">
        <f>(C81)-(D81)</f>
        <v>24316.940000000002</v>
      </c>
      <c r="F81" s="97">
        <f>IF(ABS((D81))=0,"",((C81)-(D81))/(ABS((D81))))</f>
        <v>2.1760767879498903</v>
      </c>
    </row>
    <row r="82" spans="1:6" x14ac:dyDescent="0.35">
      <c r="A82" t="e">
        <f>VLOOKUP(B82,Key!A:B,2,FALSE)</f>
        <v>#N/A</v>
      </c>
      <c r="B82" s="92" t="s">
        <v>181</v>
      </c>
      <c r="C82" s="93"/>
      <c r="D82" s="93"/>
      <c r="E82" s="93"/>
      <c r="F82" s="93"/>
    </row>
    <row r="83" spans="1:6" x14ac:dyDescent="0.35">
      <c r="A83" t="str">
        <f>VLOOKUP(B83,Key!A:B,2,FALSE)</f>
        <v>Interest Expense</v>
      </c>
      <c r="B83" s="92" t="s">
        <v>385</v>
      </c>
      <c r="C83" s="94">
        <f>2060.27</f>
        <v>2060.27</v>
      </c>
      <c r="D83" s="93"/>
      <c r="E83" s="94">
        <f>(C83)-(D83)</f>
        <v>2060.27</v>
      </c>
      <c r="F83" s="95" t="str">
        <f>IF(ABS((D83))=0,"",((C83)-(D83))/(ABS((D83))))</f>
        <v/>
      </c>
    </row>
    <row r="84" spans="1:6" x14ac:dyDescent="0.35">
      <c r="A84" t="e">
        <f>VLOOKUP(B84,Key!A:B,2,FALSE)</f>
        <v>#N/A</v>
      </c>
      <c r="B84" s="92" t="s">
        <v>182</v>
      </c>
      <c r="C84" s="96">
        <f>C83</f>
        <v>2060.27</v>
      </c>
      <c r="D84" s="96">
        <f>D83</f>
        <v>0</v>
      </c>
      <c r="E84" s="96">
        <f>(C84)-(D84)</f>
        <v>2060.27</v>
      </c>
      <c r="F84" s="97" t="str">
        <f>IF(ABS((D84))=0,"",((C84)-(D84))/(ABS((D84))))</f>
        <v/>
      </c>
    </row>
    <row r="85" spans="1:6" x14ac:dyDescent="0.35">
      <c r="A85" t="e">
        <f>VLOOKUP(B85,Key!A:B,2,FALSE)</f>
        <v>#N/A</v>
      </c>
      <c r="B85" s="92" t="s">
        <v>183</v>
      </c>
      <c r="C85" s="96">
        <f>(C81)-(C84)</f>
        <v>33431.340000000004</v>
      </c>
      <c r="D85" s="96">
        <f>(D81)-(D84)</f>
        <v>11174.67</v>
      </c>
      <c r="E85" s="96">
        <f>(C85)-(D85)</f>
        <v>22256.670000000006</v>
      </c>
      <c r="F85" s="97">
        <f>IF(ABS((D85))=0,"",((C85)-(D85))/(ABS((D85))))</f>
        <v>1.9917071376604414</v>
      </c>
    </row>
    <row r="86" spans="1:6" x14ac:dyDescent="0.35">
      <c r="A86" t="e">
        <f>VLOOKUP(B86,Key!A:B,2,FALSE)</f>
        <v>#N/A</v>
      </c>
      <c r="B86" s="92" t="s">
        <v>184</v>
      </c>
      <c r="C86" s="96">
        <f>(C76)+(C85)</f>
        <v>-17188.939999999908</v>
      </c>
      <c r="D86" s="96">
        <f>(D76)+(D85)</f>
        <v>-8304.2500000000418</v>
      </c>
      <c r="E86" s="96">
        <f>(C86)-(D86)</f>
        <v>-8884.6899999998659</v>
      </c>
      <c r="F86" s="97">
        <f>IF(ABS((D86))=0,"",((C86)-(D86))/(ABS((D86))))</f>
        <v>-1.0698967396212566</v>
      </c>
    </row>
    <row r="87" spans="1:6" x14ac:dyDescent="0.35">
      <c r="A87" t="e">
        <f>VLOOKUP(B87,Key!A:B,2,FALSE)</f>
        <v>#N/A</v>
      </c>
    </row>
    <row r="88" spans="1:6" x14ac:dyDescent="0.35">
      <c r="A88" t="e">
        <f>VLOOKUP(B88,Key!A:B,2,FALSE)</f>
        <v>#N/A</v>
      </c>
    </row>
    <row r="89" spans="1:6" x14ac:dyDescent="0.35">
      <c r="A89" t="e">
        <f>VLOOKUP(B89,Key!A:B,2,FALSE)</f>
        <v>#N/A</v>
      </c>
    </row>
    <row r="90" spans="1:6" x14ac:dyDescent="0.35">
      <c r="A90" t="e">
        <f>VLOOKUP(B90,Key!A:B,2,FALSE)</f>
        <v>#N/A</v>
      </c>
    </row>
    <row r="91" spans="1:6" x14ac:dyDescent="0.35">
      <c r="A91" t="e">
        <f>VLOOKUP(B91,Key!A:B,2,FALSE)</f>
        <v>#N/A</v>
      </c>
    </row>
    <row r="92" spans="1:6" x14ac:dyDescent="0.35">
      <c r="A92" t="e">
        <f>VLOOKUP(B92,Key!A:B,2,FALSE)</f>
        <v>#N/A</v>
      </c>
    </row>
  </sheetData>
  <mergeCells count="4">
    <mergeCell ref="C5:F5"/>
    <mergeCell ref="B1:F1"/>
    <mergeCell ref="B2:F2"/>
    <mergeCell ref="B3: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CAD360B94982478FE7BEE7E574B1D6" ma:contentTypeVersion="20" ma:contentTypeDescription="Create a new document." ma:contentTypeScope="" ma:versionID="3441528b9483e7f03ef0b2ab56b4f155">
  <xsd:schema xmlns:xsd="http://www.w3.org/2001/XMLSchema" xmlns:xs="http://www.w3.org/2001/XMLSchema" xmlns:p="http://schemas.microsoft.com/office/2006/metadata/properties" xmlns:ns2="12492aaf-255c-4cda-84a0-c4f9a9af1f5b" xmlns:ns3="8f577e7d-b316-4dc8-bc1e-48c98e6916c9" targetNamespace="http://schemas.microsoft.com/office/2006/metadata/properties" ma:root="true" ma:fieldsID="279ea99c520cf7d7c4d3803c9f70ce82" ns2:_="" ns3:_="">
    <xsd:import namespace="12492aaf-255c-4cda-84a0-c4f9a9af1f5b"/>
    <xsd:import namespace="8f577e7d-b316-4dc8-bc1e-48c98e6916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QuickAcces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2aaf-255c-4cda-84a0-c4f9a9af1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QuickAccess" ma:index="21" nillable="true" ma:displayName="Quick Access" ma:format="Dropdown" ma:internalName="QuickAccess">
      <xsd:complexType>
        <xsd:complexContent>
          <xsd:extension base="dms:MultiChoice">
            <xsd:sequence>
              <xsd:element name="Value" maxOccurs="unbounded" minOccurs="0" nillable="true">
                <xsd:simpleType>
                  <xsd:restriction base="dms:Choice">
                    <xsd:enumeration value="Education"/>
                    <xsd:enumeration value="Communications"/>
                    <xsd:enumeration value="Regulatory"/>
                    <xsd:enumeration value="Executive"/>
                    <xsd:enumeration value="Administrative"/>
                  </xsd:restriction>
                </xsd:simple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b7f72e9-c636-414a-839e-9f0dd5fe58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577e7d-b316-4dc8-bc1e-48c98e6916c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0d6491c-c88c-42e9-80a1-b05f1e7e82e5}" ma:internalName="TaxCatchAll" ma:showField="CatchAllData" ma:web="8f577e7d-b316-4dc8-bc1e-48c98e691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f577e7d-b316-4dc8-bc1e-48c98e6916c9" xsi:nil="true"/>
    <QuickAccess xmlns="12492aaf-255c-4cda-84a0-c4f9a9af1f5b" xsi:nil="true"/>
    <lcf76f155ced4ddcb4097134ff3c332f xmlns="12492aaf-255c-4cda-84a0-c4f9a9af1f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0E8C71-1B41-4F4A-9BBF-18FBFDDAB147}">
  <ds:schemaRefs>
    <ds:schemaRef ds:uri="http://schemas.microsoft.com/sharepoint/v3/contenttype/forms"/>
  </ds:schemaRefs>
</ds:datastoreItem>
</file>

<file path=customXml/itemProps2.xml><?xml version="1.0" encoding="utf-8"?>
<ds:datastoreItem xmlns:ds="http://schemas.openxmlformats.org/officeDocument/2006/customXml" ds:itemID="{D610D083-2863-438A-96ED-115B44F90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92aaf-255c-4cda-84a0-c4f9a9af1f5b"/>
    <ds:schemaRef ds:uri="8f577e7d-b316-4dc8-bc1e-48c98e691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906A0D-5449-4206-B7A4-198C95DAE9B6}">
  <ds:schemaRefs>
    <ds:schemaRef ds:uri="http://schemas.microsoft.com/office/2006/metadata/properties"/>
    <ds:schemaRef ds:uri="http://schemas.microsoft.com/office/infopath/2007/PartnerControls"/>
    <ds:schemaRef ds:uri="1ad02805-aa20-4564-9851-a6038a6fefc5"/>
    <ds:schemaRef ds:uri="1c59c944-bbf2-4a5a-9f8a-582341337d8d"/>
    <ds:schemaRef ds:uri="ef6304c6-05e9-4355-ba5a-c27016995296"/>
    <ds:schemaRef ds:uri="a9c15b91-b72c-4f0d-b996-f844037014a9"/>
    <ds:schemaRef ds:uri="8f577e7d-b316-4dc8-bc1e-48c98e6916c9"/>
    <ds:schemaRef ds:uri="12492aaf-255c-4cda-84a0-c4f9a9af1f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vt:lpstr>
      <vt:lpstr>Dashboard</vt:lpstr>
      <vt:lpstr>Budget vs. Actuals Totals</vt:lpstr>
      <vt:lpstr>Balance Sheet</vt:lpstr>
      <vt:lpstr>Profit and Loss by Month</vt:lpstr>
      <vt:lpstr>Budget vs. Actuals by Month</vt:lpstr>
      <vt:lpstr>P&amp;L by Month</vt:lpstr>
      <vt:lpstr>Profit and Loss by Class</vt:lpstr>
      <vt:lpstr>Actual vs. Prior Year</vt:lpstr>
      <vt:lpstr>Full Year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Kathy Messerli</cp:lastModifiedBy>
  <cp:revision/>
  <cp:lastPrinted>2023-09-29T20:34:02Z</cp:lastPrinted>
  <dcterms:created xsi:type="dcterms:W3CDTF">2022-09-14T01:52:40Z</dcterms:created>
  <dcterms:modified xsi:type="dcterms:W3CDTF">2024-06-21T17:10:14Z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0x0101006DCAD360B94982478FE7BEE7E574B1D6</vt:lpwstr>
  </property>
  <property fmtid="{D5CDD505-2E9C-101B-9397-08002B2CF9AE}" pid="3" name="MediaServiceImageTags">
    <vt:lpwstr/>
  </property>
</Properties>
</file>